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jpx-fs\josa\企業財務\2.株価相関分析\01DWH･業務支援･BO-X関係(200503～DWH･201301～業務支援･202001～BO-X）\08.公表データ(200503～ＤＷＨ･201301～業務支援･202001～BO-Xで公表）\2022\202204(新市場区分での公表開始)\公表資料\"/>
    </mc:Choice>
  </mc:AlternateContent>
  <xr:revisionPtr revIDLastSave="0" documentId="13_ncr:1_{DC1EB932-00D6-440E-A675-D9550DBE4AB5}" xr6:coauthVersionLast="47" xr6:coauthVersionMax="47" xr10:uidLastSave="{00000000-0000-0000-0000-000000000000}"/>
  <bookViews>
    <workbookView xWindow="4905" yWindow="1155" windowWidth="14715" windowHeight="8445" xr2:uid="{00000000-000D-0000-FFFF-FFFF00000000}"/>
  </bookViews>
  <sheets>
    <sheet name="規模別・業種別（連結）" sheetId="1" r:id="rId1"/>
    <sheet name="市場別（単体）" sheetId="2" r:id="rId2"/>
  </sheets>
  <definedNames>
    <definedName name="_xlnm._FilterDatabase" localSheetId="0" hidden="1">'規模別・業種別（連結）'!$A$4:$AB$118</definedName>
    <definedName name="_xlnm.Print_Titles" localSheetId="0">'規模別・業種別（連結）'!$1:$4</definedName>
    <definedName name="_xlnm.Print_Titles" localSheetId="1">'市場別（単体）'!$1:$5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2" l="1"/>
  <c r="K8" i="2"/>
  <c r="J8" i="2"/>
  <c r="I8" i="2"/>
  <c r="H8" i="2"/>
  <c r="G8" i="2"/>
  <c r="F8" i="2"/>
  <c r="E8" i="2"/>
  <c r="D8" i="2"/>
  <c r="L7" i="2"/>
  <c r="K7" i="2"/>
  <c r="J7" i="2"/>
  <c r="I7" i="2"/>
  <c r="H7" i="2"/>
  <c r="G7" i="2"/>
  <c r="F7" i="2"/>
  <c r="E7" i="2"/>
  <c r="D7" i="2"/>
  <c r="L6" i="2"/>
  <c r="K6" i="2"/>
  <c r="J6" i="2"/>
  <c r="I6" i="2"/>
  <c r="H6" i="2"/>
  <c r="G6" i="2"/>
  <c r="F6" i="2"/>
  <c r="E6" i="2"/>
  <c r="D6" i="2"/>
  <c r="N118" i="1"/>
  <c r="M118" i="1"/>
  <c r="L118" i="1"/>
  <c r="K118" i="1"/>
  <c r="J118" i="1"/>
  <c r="I118" i="1"/>
  <c r="H118" i="1"/>
  <c r="G118" i="1"/>
  <c r="F118" i="1"/>
  <c r="N117" i="1"/>
  <c r="M117" i="1"/>
  <c r="L117" i="1"/>
  <c r="K117" i="1"/>
  <c r="J117" i="1"/>
  <c r="I117" i="1"/>
  <c r="H117" i="1"/>
  <c r="G117" i="1"/>
  <c r="F117" i="1"/>
  <c r="N116" i="1"/>
  <c r="M116" i="1"/>
  <c r="L116" i="1"/>
  <c r="K116" i="1"/>
  <c r="J116" i="1"/>
  <c r="I116" i="1"/>
  <c r="H116" i="1"/>
  <c r="G116" i="1"/>
  <c r="F116" i="1"/>
  <c r="N115" i="1"/>
  <c r="M115" i="1"/>
  <c r="L115" i="1"/>
  <c r="K115" i="1"/>
  <c r="J115" i="1"/>
  <c r="I115" i="1"/>
  <c r="H115" i="1"/>
  <c r="G115" i="1"/>
  <c r="F115" i="1"/>
  <c r="N114" i="1"/>
  <c r="M114" i="1"/>
  <c r="L114" i="1"/>
  <c r="K114" i="1"/>
  <c r="J114" i="1"/>
  <c r="I114" i="1"/>
  <c r="H114" i="1"/>
  <c r="G114" i="1"/>
  <c r="F114" i="1"/>
  <c r="N113" i="1"/>
  <c r="M113" i="1"/>
  <c r="L113" i="1"/>
  <c r="K113" i="1"/>
  <c r="J113" i="1"/>
  <c r="I113" i="1"/>
  <c r="H113" i="1"/>
  <c r="G113" i="1"/>
  <c r="F113" i="1"/>
  <c r="N112" i="1"/>
  <c r="M112" i="1"/>
  <c r="L112" i="1"/>
  <c r="K112" i="1"/>
  <c r="J112" i="1"/>
  <c r="I112" i="1"/>
  <c r="H112" i="1"/>
  <c r="G112" i="1"/>
  <c r="F112" i="1"/>
  <c r="N111" i="1"/>
  <c r="M111" i="1"/>
  <c r="L111" i="1"/>
  <c r="K111" i="1"/>
  <c r="J111" i="1"/>
  <c r="I111" i="1"/>
  <c r="H111" i="1"/>
  <c r="G111" i="1"/>
  <c r="F111" i="1"/>
  <c r="N110" i="1"/>
  <c r="M110" i="1"/>
  <c r="L110" i="1"/>
  <c r="K110" i="1"/>
  <c r="J110" i="1"/>
  <c r="I110" i="1"/>
  <c r="H110" i="1"/>
  <c r="G110" i="1"/>
  <c r="F110" i="1"/>
  <c r="N109" i="1"/>
  <c r="M109" i="1"/>
  <c r="L109" i="1"/>
  <c r="K109" i="1"/>
  <c r="J109" i="1"/>
  <c r="I109" i="1"/>
  <c r="H109" i="1"/>
  <c r="G109" i="1"/>
  <c r="F109" i="1"/>
  <c r="N108" i="1"/>
  <c r="M108" i="1"/>
  <c r="L108" i="1"/>
  <c r="K108" i="1"/>
  <c r="J108" i="1"/>
  <c r="I108" i="1"/>
  <c r="H108" i="1"/>
  <c r="G108" i="1"/>
  <c r="F108" i="1"/>
  <c r="N107" i="1"/>
  <c r="M107" i="1"/>
  <c r="L107" i="1"/>
  <c r="K107" i="1"/>
  <c r="J107" i="1"/>
  <c r="I107" i="1"/>
  <c r="H107" i="1"/>
  <c r="G107" i="1"/>
  <c r="F107" i="1"/>
  <c r="N106" i="1"/>
  <c r="M106" i="1"/>
  <c r="L106" i="1"/>
  <c r="K106" i="1"/>
  <c r="J106" i="1"/>
  <c r="I106" i="1"/>
  <c r="H106" i="1"/>
  <c r="G106" i="1"/>
  <c r="F106" i="1"/>
  <c r="N105" i="1"/>
  <c r="M105" i="1"/>
  <c r="L105" i="1"/>
  <c r="K105" i="1"/>
  <c r="J105" i="1"/>
  <c r="I105" i="1"/>
  <c r="H105" i="1"/>
  <c r="G105" i="1"/>
  <c r="F105" i="1"/>
  <c r="N104" i="1"/>
  <c r="M104" i="1"/>
  <c r="L104" i="1"/>
  <c r="K104" i="1"/>
  <c r="J104" i="1"/>
  <c r="I104" i="1"/>
  <c r="H104" i="1"/>
  <c r="G104" i="1"/>
  <c r="F104" i="1"/>
  <c r="N103" i="1"/>
  <c r="M103" i="1"/>
  <c r="L103" i="1"/>
  <c r="K103" i="1"/>
  <c r="J103" i="1"/>
  <c r="I103" i="1"/>
  <c r="H103" i="1"/>
  <c r="G103" i="1"/>
  <c r="F103" i="1"/>
  <c r="N102" i="1"/>
  <c r="M102" i="1"/>
  <c r="L102" i="1"/>
  <c r="K102" i="1"/>
  <c r="J102" i="1"/>
  <c r="I102" i="1"/>
  <c r="H102" i="1"/>
  <c r="G102" i="1"/>
  <c r="F102" i="1"/>
  <c r="N101" i="1"/>
  <c r="M101" i="1"/>
  <c r="L101" i="1"/>
  <c r="K101" i="1"/>
  <c r="J101" i="1"/>
  <c r="I101" i="1"/>
  <c r="H101" i="1"/>
  <c r="G101" i="1"/>
  <c r="F101" i="1"/>
  <c r="N100" i="1"/>
  <c r="M100" i="1"/>
  <c r="L100" i="1"/>
  <c r="K100" i="1"/>
  <c r="J100" i="1"/>
  <c r="I100" i="1"/>
  <c r="H100" i="1"/>
  <c r="G100" i="1"/>
  <c r="F100" i="1"/>
  <c r="N99" i="1"/>
  <c r="M99" i="1"/>
  <c r="L99" i="1"/>
  <c r="K99" i="1"/>
  <c r="J99" i="1"/>
  <c r="I99" i="1"/>
  <c r="H99" i="1"/>
  <c r="G99" i="1"/>
  <c r="F99" i="1"/>
  <c r="N98" i="1"/>
  <c r="M98" i="1"/>
  <c r="L98" i="1"/>
  <c r="K98" i="1"/>
  <c r="J98" i="1"/>
  <c r="I98" i="1"/>
  <c r="H98" i="1"/>
  <c r="G98" i="1"/>
  <c r="F98" i="1"/>
  <c r="N97" i="1"/>
  <c r="M97" i="1"/>
  <c r="L97" i="1"/>
  <c r="K97" i="1"/>
  <c r="J97" i="1"/>
  <c r="I97" i="1"/>
  <c r="H97" i="1"/>
  <c r="G97" i="1"/>
  <c r="F97" i="1"/>
  <c r="N96" i="1"/>
  <c r="M96" i="1"/>
  <c r="L96" i="1"/>
  <c r="K96" i="1"/>
  <c r="J96" i="1"/>
  <c r="I96" i="1"/>
  <c r="H96" i="1"/>
  <c r="G96" i="1"/>
  <c r="F96" i="1"/>
  <c r="N95" i="1"/>
  <c r="M95" i="1"/>
  <c r="L95" i="1"/>
  <c r="K95" i="1"/>
  <c r="J95" i="1"/>
  <c r="I95" i="1"/>
  <c r="H95" i="1"/>
  <c r="G95" i="1"/>
  <c r="F95" i="1"/>
  <c r="N94" i="1"/>
  <c r="M94" i="1"/>
  <c r="L94" i="1"/>
  <c r="K94" i="1"/>
  <c r="J94" i="1"/>
  <c r="I94" i="1"/>
  <c r="H94" i="1"/>
  <c r="G94" i="1"/>
  <c r="F94" i="1"/>
  <c r="N93" i="1"/>
  <c r="M93" i="1"/>
  <c r="L93" i="1"/>
  <c r="K93" i="1"/>
  <c r="J93" i="1"/>
  <c r="I93" i="1"/>
  <c r="H93" i="1"/>
  <c r="G93" i="1"/>
  <c r="F93" i="1"/>
  <c r="N92" i="1"/>
  <c r="M92" i="1"/>
  <c r="L92" i="1"/>
  <c r="K92" i="1"/>
  <c r="J92" i="1"/>
  <c r="I92" i="1"/>
  <c r="H92" i="1"/>
  <c r="G92" i="1"/>
  <c r="F92" i="1"/>
  <c r="N91" i="1"/>
  <c r="M91" i="1"/>
  <c r="L91" i="1"/>
  <c r="K91" i="1"/>
  <c r="J91" i="1"/>
  <c r="I91" i="1"/>
  <c r="H91" i="1"/>
  <c r="G91" i="1"/>
  <c r="F91" i="1"/>
  <c r="N90" i="1"/>
  <c r="M90" i="1"/>
  <c r="L90" i="1"/>
  <c r="K90" i="1"/>
  <c r="J90" i="1"/>
  <c r="I90" i="1"/>
  <c r="H90" i="1"/>
  <c r="G90" i="1"/>
  <c r="F90" i="1"/>
  <c r="N89" i="1"/>
  <c r="M89" i="1"/>
  <c r="L89" i="1"/>
  <c r="K89" i="1"/>
  <c r="J89" i="1"/>
  <c r="I89" i="1"/>
  <c r="H89" i="1"/>
  <c r="G89" i="1"/>
  <c r="F89" i="1"/>
  <c r="N88" i="1"/>
  <c r="M88" i="1"/>
  <c r="L88" i="1"/>
  <c r="K88" i="1"/>
  <c r="J88" i="1"/>
  <c r="I88" i="1"/>
  <c r="H88" i="1"/>
  <c r="G88" i="1"/>
  <c r="F88" i="1"/>
  <c r="N87" i="1"/>
  <c r="M87" i="1"/>
  <c r="L87" i="1"/>
  <c r="K87" i="1"/>
  <c r="J87" i="1"/>
  <c r="I87" i="1"/>
  <c r="H87" i="1"/>
  <c r="G87" i="1"/>
  <c r="F87" i="1"/>
  <c r="N86" i="1"/>
  <c r="M86" i="1"/>
  <c r="L86" i="1"/>
  <c r="K86" i="1"/>
  <c r="J86" i="1"/>
  <c r="I86" i="1"/>
  <c r="H86" i="1"/>
  <c r="G86" i="1"/>
  <c r="F86" i="1"/>
  <c r="N85" i="1"/>
  <c r="M85" i="1"/>
  <c r="L85" i="1"/>
  <c r="K85" i="1"/>
  <c r="J85" i="1"/>
  <c r="I85" i="1"/>
  <c r="H85" i="1"/>
  <c r="G85" i="1"/>
  <c r="F85" i="1"/>
  <c r="N84" i="1"/>
  <c r="M84" i="1"/>
  <c r="L84" i="1"/>
  <c r="K84" i="1"/>
  <c r="J84" i="1"/>
  <c r="I84" i="1"/>
  <c r="H84" i="1"/>
  <c r="G84" i="1"/>
  <c r="F84" i="1"/>
  <c r="N83" i="1"/>
  <c r="M83" i="1"/>
  <c r="L83" i="1"/>
  <c r="K83" i="1"/>
  <c r="J83" i="1"/>
  <c r="I83" i="1"/>
  <c r="H83" i="1"/>
  <c r="G83" i="1"/>
  <c r="F83" i="1"/>
  <c r="N82" i="1"/>
  <c r="M82" i="1"/>
  <c r="L82" i="1"/>
  <c r="K82" i="1"/>
  <c r="J82" i="1"/>
  <c r="I82" i="1"/>
  <c r="H82" i="1"/>
  <c r="G82" i="1"/>
  <c r="F82" i="1"/>
  <c r="N81" i="1"/>
  <c r="M81" i="1"/>
  <c r="L81" i="1"/>
  <c r="K81" i="1"/>
  <c r="J81" i="1"/>
  <c r="I81" i="1"/>
  <c r="H81" i="1"/>
  <c r="G81" i="1"/>
  <c r="F81" i="1"/>
  <c r="N80" i="1"/>
  <c r="M80" i="1"/>
  <c r="L80" i="1"/>
  <c r="K80" i="1"/>
  <c r="J80" i="1"/>
  <c r="I80" i="1"/>
  <c r="H80" i="1"/>
  <c r="G80" i="1"/>
  <c r="F80" i="1"/>
  <c r="N79" i="1"/>
  <c r="M79" i="1"/>
  <c r="L79" i="1"/>
  <c r="K79" i="1"/>
  <c r="J79" i="1"/>
  <c r="I79" i="1"/>
  <c r="H79" i="1"/>
  <c r="G79" i="1"/>
  <c r="F79" i="1"/>
  <c r="N78" i="1"/>
  <c r="M78" i="1"/>
  <c r="L78" i="1"/>
  <c r="K78" i="1"/>
  <c r="J78" i="1"/>
  <c r="I78" i="1"/>
  <c r="H78" i="1"/>
  <c r="G78" i="1"/>
  <c r="F78" i="1"/>
  <c r="N77" i="1"/>
  <c r="M77" i="1"/>
  <c r="L77" i="1"/>
  <c r="K77" i="1"/>
  <c r="J77" i="1"/>
  <c r="I77" i="1"/>
  <c r="H77" i="1"/>
  <c r="G77" i="1"/>
  <c r="F77" i="1"/>
  <c r="N76" i="1"/>
  <c r="M76" i="1"/>
  <c r="L76" i="1"/>
  <c r="K76" i="1"/>
  <c r="J76" i="1"/>
  <c r="I76" i="1"/>
  <c r="H76" i="1"/>
  <c r="G76" i="1"/>
  <c r="F76" i="1"/>
  <c r="N75" i="1"/>
  <c r="M75" i="1"/>
  <c r="L75" i="1"/>
  <c r="K75" i="1"/>
  <c r="J75" i="1"/>
  <c r="I75" i="1"/>
  <c r="H75" i="1"/>
  <c r="G75" i="1"/>
  <c r="F75" i="1"/>
  <c r="N74" i="1"/>
  <c r="M74" i="1"/>
  <c r="L74" i="1"/>
  <c r="K74" i="1"/>
  <c r="J74" i="1"/>
  <c r="I74" i="1"/>
  <c r="H74" i="1"/>
  <c r="G74" i="1"/>
  <c r="F74" i="1"/>
  <c r="N73" i="1"/>
  <c r="M73" i="1"/>
  <c r="L73" i="1"/>
  <c r="K73" i="1"/>
  <c r="J73" i="1"/>
  <c r="I73" i="1"/>
  <c r="H73" i="1"/>
  <c r="G73" i="1"/>
  <c r="F73" i="1"/>
  <c r="N72" i="1"/>
  <c r="M72" i="1"/>
  <c r="L72" i="1"/>
  <c r="K72" i="1"/>
  <c r="J72" i="1"/>
  <c r="I72" i="1"/>
  <c r="H72" i="1"/>
  <c r="G72" i="1"/>
  <c r="F72" i="1"/>
  <c r="N71" i="1"/>
  <c r="M71" i="1"/>
  <c r="L71" i="1"/>
  <c r="K71" i="1"/>
  <c r="J71" i="1"/>
  <c r="I71" i="1"/>
  <c r="H71" i="1"/>
  <c r="G71" i="1"/>
  <c r="F71" i="1"/>
  <c r="N70" i="1"/>
  <c r="M70" i="1"/>
  <c r="L70" i="1"/>
  <c r="K70" i="1"/>
  <c r="J70" i="1"/>
  <c r="I70" i="1"/>
  <c r="H70" i="1"/>
  <c r="G70" i="1"/>
  <c r="F70" i="1"/>
  <c r="N69" i="1"/>
  <c r="M69" i="1"/>
  <c r="L69" i="1"/>
  <c r="K69" i="1"/>
  <c r="J69" i="1"/>
  <c r="I69" i="1"/>
  <c r="H69" i="1"/>
  <c r="G69" i="1"/>
  <c r="F69" i="1"/>
  <c r="N68" i="1"/>
  <c r="M68" i="1"/>
  <c r="L68" i="1"/>
  <c r="K68" i="1"/>
  <c r="J68" i="1"/>
  <c r="I68" i="1"/>
  <c r="H68" i="1"/>
  <c r="G68" i="1"/>
  <c r="F68" i="1"/>
  <c r="N67" i="1"/>
  <c r="M67" i="1"/>
  <c r="L67" i="1"/>
  <c r="K67" i="1"/>
  <c r="J67" i="1"/>
  <c r="I67" i="1"/>
  <c r="H67" i="1"/>
  <c r="G67" i="1"/>
  <c r="F67" i="1"/>
  <c r="N66" i="1"/>
  <c r="M66" i="1"/>
  <c r="L66" i="1"/>
  <c r="K66" i="1"/>
  <c r="J66" i="1"/>
  <c r="I66" i="1"/>
  <c r="H66" i="1"/>
  <c r="G66" i="1"/>
  <c r="F66" i="1"/>
  <c r="N65" i="1"/>
  <c r="M65" i="1"/>
  <c r="L65" i="1"/>
  <c r="K65" i="1"/>
  <c r="J65" i="1"/>
  <c r="I65" i="1"/>
  <c r="H65" i="1"/>
  <c r="G65" i="1"/>
  <c r="F65" i="1"/>
  <c r="N64" i="1"/>
  <c r="M64" i="1"/>
  <c r="L64" i="1"/>
  <c r="K64" i="1"/>
  <c r="J64" i="1"/>
  <c r="I64" i="1"/>
  <c r="H64" i="1"/>
  <c r="G64" i="1"/>
  <c r="F64" i="1"/>
  <c r="N63" i="1"/>
  <c r="M63" i="1"/>
  <c r="L63" i="1"/>
  <c r="K63" i="1"/>
  <c r="J63" i="1"/>
  <c r="I63" i="1"/>
  <c r="H63" i="1"/>
  <c r="G63" i="1"/>
  <c r="F63" i="1"/>
  <c r="N62" i="1"/>
  <c r="M62" i="1"/>
  <c r="L62" i="1"/>
  <c r="K62" i="1"/>
  <c r="J62" i="1"/>
  <c r="I62" i="1"/>
  <c r="H62" i="1"/>
  <c r="G62" i="1"/>
  <c r="F62" i="1"/>
  <c r="N61" i="1"/>
  <c r="M61" i="1"/>
  <c r="L61" i="1"/>
  <c r="K61" i="1"/>
  <c r="J61" i="1"/>
  <c r="I61" i="1"/>
  <c r="H61" i="1"/>
  <c r="G61" i="1"/>
  <c r="F61" i="1"/>
  <c r="N60" i="1"/>
  <c r="M60" i="1"/>
  <c r="L60" i="1"/>
  <c r="K60" i="1"/>
  <c r="J60" i="1"/>
  <c r="I60" i="1"/>
  <c r="H60" i="1"/>
  <c r="G60" i="1"/>
  <c r="F60" i="1"/>
  <c r="N59" i="1"/>
  <c r="M59" i="1"/>
  <c r="L59" i="1"/>
  <c r="K59" i="1"/>
  <c r="J59" i="1"/>
  <c r="I59" i="1"/>
  <c r="H59" i="1"/>
  <c r="G59" i="1"/>
  <c r="F59" i="1"/>
  <c r="N58" i="1"/>
  <c r="M58" i="1"/>
  <c r="L58" i="1"/>
  <c r="K58" i="1"/>
  <c r="J58" i="1"/>
  <c r="I58" i="1"/>
  <c r="H58" i="1"/>
  <c r="G58" i="1"/>
  <c r="F58" i="1"/>
  <c r="N57" i="1"/>
  <c r="M57" i="1"/>
  <c r="L57" i="1"/>
  <c r="K57" i="1"/>
  <c r="J57" i="1"/>
  <c r="I57" i="1"/>
  <c r="H57" i="1"/>
  <c r="G57" i="1"/>
  <c r="F57" i="1"/>
  <c r="N56" i="1"/>
  <c r="M56" i="1"/>
  <c r="L56" i="1"/>
  <c r="K56" i="1"/>
  <c r="J56" i="1"/>
  <c r="I56" i="1"/>
  <c r="H56" i="1"/>
  <c r="G56" i="1"/>
  <c r="F56" i="1"/>
  <c r="N55" i="1"/>
  <c r="M55" i="1"/>
  <c r="L55" i="1"/>
  <c r="K55" i="1"/>
  <c r="J55" i="1"/>
  <c r="I55" i="1"/>
  <c r="H55" i="1"/>
  <c r="G55" i="1"/>
  <c r="F55" i="1"/>
  <c r="N54" i="1"/>
  <c r="M54" i="1"/>
  <c r="L54" i="1"/>
  <c r="K54" i="1"/>
  <c r="J54" i="1"/>
  <c r="I54" i="1"/>
  <c r="H54" i="1"/>
  <c r="G54" i="1"/>
  <c r="F54" i="1"/>
  <c r="N53" i="1"/>
  <c r="M53" i="1"/>
  <c r="L53" i="1"/>
  <c r="K53" i="1"/>
  <c r="J53" i="1"/>
  <c r="I53" i="1"/>
  <c r="H53" i="1"/>
  <c r="G53" i="1"/>
  <c r="F53" i="1"/>
  <c r="N52" i="1"/>
  <c r="M52" i="1"/>
  <c r="L52" i="1"/>
  <c r="K52" i="1"/>
  <c r="J52" i="1"/>
  <c r="I52" i="1"/>
  <c r="H52" i="1"/>
  <c r="G52" i="1"/>
  <c r="F52" i="1"/>
  <c r="N51" i="1"/>
  <c r="M51" i="1"/>
  <c r="L51" i="1"/>
  <c r="K51" i="1"/>
  <c r="J51" i="1"/>
  <c r="I51" i="1"/>
  <c r="H51" i="1"/>
  <c r="G51" i="1"/>
  <c r="F51" i="1"/>
  <c r="N50" i="1"/>
  <c r="M50" i="1"/>
  <c r="L50" i="1"/>
  <c r="K50" i="1"/>
  <c r="J50" i="1"/>
  <c r="I50" i="1"/>
  <c r="H50" i="1"/>
  <c r="G50" i="1"/>
  <c r="F50" i="1"/>
  <c r="N49" i="1"/>
  <c r="M49" i="1"/>
  <c r="L49" i="1"/>
  <c r="K49" i="1"/>
  <c r="J49" i="1"/>
  <c r="I49" i="1"/>
  <c r="H49" i="1"/>
  <c r="G49" i="1"/>
  <c r="F49" i="1"/>
  <c r="N48" i="1"/>
  <c r="M48" i="1"/>
  <c r="L48" i="1"/>
  <c r="K48" i="1"/>
  <c r="J48" i="1"/>
  <c r="I48" i="1"/>
  <c r="H48" i="1"/>
  <c r="G48" i="1"/>
  <c r="F48" i="1"/>
  <c r="N47" i="1"/>
  <c r="M47" i="1"/>
  <c r="L47" i="1"/>
  <c r="K47" i="1"/>
  <c r="J47" i="1"/>
  <c r="I47" i="1"/>
  <c r="H47" i="1"/>
  <c r="G47" i="1"/>
  <c r="F47" i="1"/>
  <c r="N46" i="1"/>
  <c r="M46" i="1"/>
  <c r="L46" i="1"/>
  <c r="K46" i="1"/>
  <c r="J46" i="1"/>
  <c r="I46" i="1"/>
  <c r="H46" i="1"/>
  <c r="G46" i="1"/>
  <c r="F46" i="1"/>
  <c r="N45" i="1"/>
  <c r="M45" i="1"/>
  <c r="L45" i="1"/>
  <c r="K45" i="1"/>
  <c r="J45" i="1"/>
  <c r="I45" i="1"/>
  <c r="H45" i="1"/>
  <c r="G45" i="1"/>
  <c r="F45" i="1"/>
  <c r="N44" i="1"/>
  <c r="M44" i="1"/>
  <c r="L44" i="1"/>
  <c r="K44" i="1"/>
  <c r="J44" i="1"/>
  <c r="I44" i="1"/>
  <c r="H44" i="1"/>
  <c r="G44" i="1"/>
  <c r="F44" i="1"/>
  <c r="N43" i="1"/>
  <c r="M43" i="1"/>
  <c r="L43" i="1"/>
  <c r="K43" i="1"/>
  <c r="J43" i="1"/>
  <c r="I43" i="1"/>
  <c r="H43" i="1"/>
  <c r="G43" i="1"/>
  <c r="F43" i="1"/>
  <c r="N42" i="1"/>
  <c r="M42" i="1"/>
  <c r="L42" i="1"/>
  <c r="K42" i="1"/>
  <c r="J42" i="1"/>
  <c r="I42" i="1"/>
  <c r="H42" i="1"/>
  <c r="G42" i="1"/>
  <c r="F42" i="1"/>
  <c r="N41" i="1"/>
  <c r="M41" i="1"/>
  <c r="L41" i="1"/>
  <c r="K41" i="1"/>
  <c r="J41" i="1"/>
  <c r="I41" i="1"/>
  <c r="H41" i="1"/>
  <c r="G41" i="1"/>
  <c r="F41" i="1"/>
  <c r="N40" i="1"/>
  <c r="M40" i="1"/>
  <c r="L40" i="1"/>
  <c r="K40" i="1"/>
  <c r="J40" i="1"/>
  <c r="I40" i="1"/>
  <c r="H40" i="1"/>
  <c r="G40" i="1"/>
  <c r="F40" i="1"/>
  <c r="N39" i="1"/>
  <c r="M39" i="1"/>
  <c r="L39" i="1"/>
  <c r="K39" i="1"/>
  <c r="J39" i="1"/>
  <c r="I39" i="1"/>
  <c r="H39" i="1"/>
  <c r="G39" i="1"/>
  <c r="F39" i="1"/>
  <c r="N38" i="1"/>
  <c r="M38" i="1"/>
  <c r="L38" i="1"/>
  <c r="K38" i="1"/>
  <c r="J38" i="1"/>
  <c r="I38" i="1"/>
  <c r="H38" i="1"/>
  <c r="G38" i="1"/>
  <c r="F38" i="1"/>
  <c r="N37" i="1"/>
  <c r="M37" i="1"/>
  <c r="L37" i="1"/>
  <c r="K37" i="1"/>
  <c r="J37" i="1"/>
  <c r="I37" i="1"/>
  <c r="H37" i="1"/>
  <c r="G37" i="1"/>
  <c r="F37" i="1"/>
  <c r="N36" i="1"/>
  <c r="M36" i="1"/>
  <c r="L36" i="1"/>
  <c r="K36" i="1"/>
  <c r="J36" i="1"/>
  <c r="I36" i="1"/>
  <c r="H36" i="1"/>
  <c r="G36" i="1"/>
  <c r="F36" i="1"/>
  <c r="N35" i="1"/>
  <c r="M35" i="1"/>
  <c r="L35" i="1"/>
  <c r="K35" i="1"/>
  <c r="J35" i="1"/>
  <c r="I35" i="1"/>
  <c r="H35" i="1"/>
  <c r="G35" i="1"/>
  <c r="F35" i="1"/>
  <c r="N34" i="1"/>
  <c r="M34" i="1"/>
  <c r="L34" i="1"/>
  <c r="K34" i="1"/>
  <c r="J34" i="1"/>
  <c r="I34" i="1"/>
  <c r="H34" i="1"/>
  <c r="G34" i="1"/>
  <c r="F34" i="1"/>
  <c r="N33" i="1"/>
  <c r="M33" i="1"/>
  <c r="L33" i="1"/>
  <c r="K33" i="1"/>
  <c r="J33" i="1"/>
  <c r="I33" i="1"/>
  <c r="H33" i="1"/>
  <c r="G33" i="1"/>
  <c r="F33" i="1"/>
  <c r="N32" i="1"/>
  <c r="M32" i="1"/>
  <c r="L32" i="1"/>
  <c r="K32" i="1"/>
  <c r="J32" i="1"/>
  <c r="I32" i="1"/>
  <c r="H32" i="1"/>
  <c r="G32" i="1"/>
  <c r="F32" i="1"/>
  <c r="N31" i="1"/>
  <c r="M31" i="1"/>
  <c r="L31" i="1"/>
  <c r="K31" i="1"/>
  <c r="J31" i="1"/>
  <c r="I31" i="1"/>
  <c r="H31" i="1"/>
  <c r="G31" i="1"/>
  <c r="F31" i="1"/>
  <c r="N30" i="1"/>
  <c r="M30" i="1"/>
  <c r="L30" i="1"/>
  <c r="K30" i="1"/>
  <c r="J30" i="1"/>
  <c r="I30" i="1"/>
  <c r="H30" i="1"/>
  <c r="G30" i="1"/>
  <c r="F30" i="1"/>
  <c r="N29" i="1"/>
  <c r="M29" i="1"/>
  <c r="L29" i="1"/>
  <c r="K29" i="1"/>
  <c r="J29" i="1"/>
  <c r="I29" i="1"/>
  <c r="H29" i="1"/>
  <c r="G29" i="1"/>
  <c r="F29" i="1"/>
  <c r="N28" i="1"/>
  <c r="M28" i="1"/>
  <c r="L28" i="1"/>
  <c r="K28" i="1"/>
  <c r="J28" i="1"/>
  <c r="I28" i="1"/>
  <c r="H28" i="1"/>
  <c r="G28" i="1"/>
  <c r="F28" i="1"/>
  <c r="N27" i="1"/>
  <c r="M27" i="1"/>
  <c r="L27" i="1"/>
  <c r="K27" i="1"/>
  <c r="J27" i="1"/>
  <c r="I27" i="1"/>
  <c r="H27" i="1"/>
  <c r="G27" i="1"/>
  <c r="F27" i="1"/>
  <c r="N26" i="1"/>
  <c r="M26" i="1"/>
  <c r="L26" i="1"/>
  <c r="K26" i="1"/>
  <c r="J26" i="1"/>
  <c r="I26" i="1"/>
  <c r="H26" i="1"/>
  <c r="G26" i="1"/>
  <c r="F26" i="1"/>
  <c r="N25" i="1"/>
  <c r="M25" i="1"/>
  <c r="L25" i="1"/>
  <c r="K25" i="1"/>
  <c r="J25" i="1"/>
  <c r="I25" i="1"/>
  <c r="H25" i="1"/>
  <c r="G25" i="1"/>
  <c r="F25" i="1"/>
  <c r="N24" i="1"/>
  <c r="M24" i="1"/>
  <c r="L24" i="1"/>
  <c r="K24" i="1"/>
  <c r="J24" i="1"/>
  <c r="I24" i="1"/>
  <c r="H24" i="1"/>
  <c r="G24" i="1"/>
  <c r="F24" i="1"/>
  <c r="N23" i="1"/>
  <c r="M23" i="1"/>
  <c r="L23" i="1"/>
  <c r="K23" i="1"/>
  <c r="J23" i="1"/>
  <c r="I23" i="1"/>
  <c r="H23" i="1"/>
  <c r="G23" i="1"/>
  <c r="F23" i="1"/>
  <c r="N22" i="1"/>
  <c r="M22" i="1"/>
  <c r="L22" i="1"/>
  <c r="K22" i="1"/>
  <c r="J22" i="1"/>
  <c r="I22" i="1"/>
  <c r="H22" i="1"/>
  <c r="G22" i="1"/>
  <c r="F22" i="1"/>
  <c r="N21" i="1"/>
  <c r="M21" i="1"/>
  <c r="L21" i="1"/>
  <c r="K21" i="1"/>
  <c r="J21" i="1"/>
  <c r="I21" i="1"/>
  <c r="H21" i="1"/>
  <c r="G21" i="1"/>
  <c r="F21" i="1"/>
  <c r="N20" i="1"/>
  <c r="M20" i="1"/>
  <c r="L20" i="1"/>
  <c r="K20" i="1"/>
  <c r="J20" i="1"/>
  <c r="I20" i="1"/>
  <c r="H20" i="1"/>
  <c r="G20" i="1"/>
  <c r="F20" i="1"/>
  <c r="N19" i="1"/>
  <c r="M19" i="1"/>
  <c r="L19" i="1"/>
  <c r="K19" i="1"/>
  <c r="J19" i="1"/>
  <c r="I19" i="1"/>
  <c r="H19" i="1"/>
  <c r="G19" i="1"/>
  <c r="F19" i="1"/>
  <c r="N18" i="1"/>
  <c r="M18" i="1"/>
  <c r="L18" i="1"/>
  <c r="K18" i="1"/>
  <c r="J18" i="1"/>
  <c r="I18" i="1"/>
  <c r="H18" i="1"/>
  <c r="G18" i="1"/>
  <c r="F18" i="1"/>
  <c r="N17" i="1"/>
  <c r="M17" i="1"/>
  <c r="L17" i="1"/>
  <c r="K17" i="1"/>
  <c r="J17" i="1"/>
  <c r="I17" i="1"/>
  <c r="H17" i="1"/>
  <c r="G17" i="1"/>
  <c r="F17" i="1"/>
  <c r="N16" i="1"/>
  <c r="M16" i="1"/>
  <c r="L16" i="1"/>
  <c r="K16" i="1"/>
  <c r="J16" i="1"/>
  <c r="I16" i="1"/>
  <c r="H16" i="1"/>
  <c r="G16" i="1"/>
  <c r="F16" i="1"/>
  <c r="N15" i="1"/>
  <c r="M15" i="1"/>
  <c r="L15" i="1"/>
  <c r="K15" i="1"/>
  <c r="J15" i="1"/>
  <c r="I15" i="1"/>
  <c r="H15" i="1"/>
  <c r="G15" i="1"/>
  <c r="F15" i="1"/>
  <c r="N14" i="1"/>
  <c r="M14" i="1"/>
  <c r="L14" i="1"/>
  <c r="K14" i="1"/>
  <c r="J14" i="1"/>
  <c r="I14" i="1"/>
  <c r="H14" i="1"/>
  <c r="G14" i="1"/>
  <c r="F14" i="1"/>
  <c r="N13" i="1"/>
  <c r="M13" i="1"/>
  <c r="L13" i="1"/>
  <c r="K13" i="1"/>
  <c r="J13" i="1"/>
  <c r="I13" i="1"/>
  <c r="H13" i="1"/>
  <c r="G13" i="1"/>
  <c r="F13" i="1"/>
  <c r="N12" i="1"/>
  <c r="M12" i="1"/>
  <c r="L12" i="1"/>
  <c r="K12" i="1"/>
  <c r="J12" i="1"/>
  <c r="I12" i="1"/>
  <c r="H12" i="1"/>
  <c r="G12" i="1"/>
  <c r="F12" i="1"/>
  <c r="N11" i="1"/>
  <c r="M11" i="1"/>
  <c r="L11" i="1"/>
  <c r="K11" i="1"/>
  <c r="J11" i="1"/>
  <c r="I11" i="1"/>
  <c r="H11" i="1"/>
  <c r="G11" i="1"/>
  <c r="F11" i="1"/>
  <c r="N10" i="1"/>
  <c r="M10" i="1"/>
  <c r="L10" i="1"/>
  <c r="K10" i="1"/>
  <c r="J10" i="1"/>
  <c r="I10" i="1"/>
  <c r="H10" i="1"/>
  <c r="G10" i="1"/>
  <c r="F10" i="1"/>
  <c r="N9" i="1"/>
  <c r="M9" i="1"/>
  <c r="L9" i="1"/>
  <c r="K9" i="1"/>
  <c r="J9" i="1"/>
  <c r="I9" i="1"/>
  <c r="H9" i="1"/>
  <c r="G9" i="1"/>
  <c r="F9" i="1"/>
  <c r="N8" i="1"/>
  <c r="M8" i="1"/>
  <c r="L8" i="1"/>
  <c r="K8" i="1"/>
  <c r="J8" i="1"/>
  <c r="I8" i="1"/>
  <c r="H8" i="1"/>
  <c r="G8" i="1"/>
  <c r="F8" i="1"/>
  <c r="N7" i="1"/>
  <c r="M7" i="1"/>
  <c r="L7" i="1"/>
  <c r="K7" i="1"/>
  <c r="J7" i="1"/>
  <c r="I7" i="1"/>
  <c r="H7" i="1"/>
  <c r="G7" i="1"/>
  <c r="F7" i="1"/>
  <c r="N6" i="1"/>
  <c r="M6" i="1"/>
  <c r="L6" i="1"/>
  <c r="K6" i="1"/>
  <c r="J6" i="1"/>
  <c r="I6" i="1"/>
  <c r="H6" i="1"/>
  <c r="G6" i="1"/>
  <c r="F6" i="1"/>
  <c r="N5" i="1"/>
  <c r="M5" i="1"/>
  <c r="L5" i="1"/>
  <c r="K5" i="1"/>
  <c r="J5" i="1"/>
  <c r="I5" i="1"/>
  <c r="H5" i="1"/>
  <c r="G5" i="1"/>
  <c r="F5" i="1"/>
</calcChain>
</file>

<file path=xl/sharedStrings.xml><?xml version="1.0" encoding="utf-8"?>
<sst xmlns="http://schemas.openxmlformats.org/spreadsheetml/2006/main" count="638" uniqueCount="141">
  <si>
    <t>規模別・業種別　PER・PBR（連結）</t>
    <rPh sb="0" eb="3">
      <t>キボベツ</t>
    </rPh>
    <rPh sb="4" eb="6">
      <t>ギョウシュ</t>
    </rPh>
    <rPh sb="6" eb="7">
      <t>ベツ</t>
    </rPh>
    <rPh sb="16" eb="18">
      <t>レンケツ</t>
    </rPh>
    <phoneticPr fontId="3"/>
  </si>
  <si>
    <t>(注)1.集計対象は、連結財務諸表を作成している会社は連結、作成していない会社は単体の数値。
    2.「－」は該当数値なし、または、PER・PBRがマイナス値の場合。PER1000倍以上の場合は「＊」を表示</t>
    <phoneticPr fontId="6"/>
  </si>
  <si>
    <t>Notice 1.Figures for companies that produce consolidated financial statements are from those statements, and figures for
         companies that do not produce consolidated financial statements are from non-consolidated financial statements.
       2.""－"" represents no figure or PER・PBR&lt;0. ""＊"" represents PER&gt;1000.</t>
    <phoneticPr fontId="6"/>
  </si>
  <si>
    <t>Average PER and PBR by Size and Types of Industry（Consolidated）</t>
  </si>
  <si>
    <t>年月</t>
    <rPh sb="0" eb="2">
      <t>ネンゲツ</t>
    </rPh>
    <phoneticPr fontId="3"/>
  </si>
  <si>
    <t>市場区分名</t>
  </si>
  <si>
    <t>Section</t>
    <phoneticPr fontId="6"/>
  </si>
  <si>
    <t>種別</t>
    <rPh sb="0" eb="2">
      <t>シュベツ</t>
    </rPh>
    <phoneticPr fontId="3"/>
  </si>
  <si>
    <t>Industry</t>
    <phoneticPr fontId="2"/>
  </si>
  <si>
    <t>会社数</t>
    <rPh sb="0" eb="2">
      <t>カイシャ</t>
    </rPh>
    <rPh sb="2" eb="3">
      <t>スウ</t>
    </rPh>
    <phoneticPr fontId="3"/>
  </si>
  <si>
    <t>単純＿PER（倍）</t>
    <rPh sb="0" eb="2">
      <t>タンジュン</t>
    </rPh>
    <rPh sb="7" eb="8">
      <t>バイ</t>
    </rPh>
    <phoneticPr fontId="3"/>
  </si>
  <si>
    <t>単純＿PBR（倍）</t>
    <rPh sb="0" eb="2">
      <t>タンジュン</t>
    </rPh>
    <rPh sb="7" eb="8">
      <t>バイ</t>
    </rPh>
    <phoneticPr fontId="3"/>
  </si>
  <si>
    <t>単純＿1株当たり
当期純利益（円）</t>
    <rPh sb="0" eb="2">
      <t>タンジュン</t>
    </rPh>
    <rPh sb="4" eb="5">
      <t>カブ</t>
    </rPh>
    <rPh sb="5" eb="6">
      <t>ア</t>
    </rPh>
    <rPh sb="9" eb="11">
      <t>トウキ</t>
    </rPh>
    <rPh sb="11" eb="14">
      <t>ジュンリエキ</t>
    </rPh>
    <rPh sb="15" eb="16">
      <t>エン</t>
    </rPh>
    <phoneticPr fontId="3"/>
  </si>
  <si>
    <t>単純＿1株当たり
純資産（円）</t>
    <rPh sb="0" eb="2">
      <t>タンジュン</t>
    </rPh>
    <rPh sb="4" eb="5">
      <t>カブ</t>
    </rPh>
    <rPh sb="5" eb="6">
      <t>ア</t>
    </rPh>
    <rPh sb="9" eb="12">
      <t>ジュンシサン</t>
    </rPh>
    <rPh sb="13" eb="14">
      <t>エン</t>
    </rPh>
    <phoneticPr fontId="3"/>
  </si>
  <si>
    <t>加重＿PER（倍）</t>
    <rPh sb="0" eb="2">
      <t>カジュウ</t>
    </rPh>
    <rPh sb="7" eb="8">
      <t>バイ</t>
    </rPh>
    <phoneticPr fontId="3"/>
  </si>
  <si>
    <t>加重＿PBR（倍）</t>
    <rPh sb="0" eb="2">
      <t>カジュウ</t>
    </rPh>
    <rPh sb="7" eb="8">
      <t>バイ</t>
    </rPh>
    <phoneticPr fontId="3"/>
  </si>
  <si>
    <t>加重＿親会社株主に帰属する
当期純利益合計（円）</t>
    <rPh sb="0" eb="2">
      <t>カジュウ</t>
    </rPh>
    <rPh sb="3" eb="6">
      <t>オヤガイシャ</t>
    </rPh>
    <rPh sb="6" eb="8">
      <t>カブヌシ</t>
    </rPh>
    <rPh sb="9" eb="11">
      <t>キゾク</t>
    </rPh>
    <rPh sb="14" eb="16">
      <t>トウキ</t>
    </rPh>
    <rPh sb="16" eb="19">
      <t>ジュンリエキ</t>
    </rPh>
    <rPh sb="19" eb="21">
      <t>ゴウケイ</t>
    </rPh>
    <rPh sb="22" eb="23">
      <t>エン</t>
    </rPh>
    <phoneticPr fontId="3"/>
  </si>
  <si>
    <t>加重＿純資産合計（円）</t>
    <rPh sb="0" eb="2">
      <t>カジュウ</t>
    </rPh>
    <rPh sb="3" eb="6">
      <t>ジュンシサン</t>
    </rPh>
    <rPh sb="6" eb="8">
      <t>ゴウケイ</t>
    </rPh>
    <rPh sb="9" eb="10">
      <t>エン</t>
    </rPh>
    <phoneticPr fontId="3"/>
  </si>
  <si>
    <t>Year/Month</t>
  </si>
  <si>
    <t>No. of cos.</t>
  </si>
  <si>
    <t>Average_PER(times)</t>
  </si>
  <si>
    <t>Average_PBR(times)</t>
  </si>
  <si>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</si>
  <si>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</si>
  <si>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</si>
  <si>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</si>
  <si>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</si>
  <si>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</si>
  <si>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市場別　PER・PBR（単体）</t>
    <rPh sb="0" eb="2">
      <t>シジョウ</t>
    </rPh>
    <rPh sb="2" eb="3">
      <t>ベツ</t>
    </rPh>
    <rPh sb="12" eb="14">
      <t>タンタイ</t>
    </rPh>
    <phoneticPr fontId="3"/>
  </si>
  <si>
    <t>(注)1.「－」は該当数値なし、または、PER・PBRがマイナス値の場合。PER1000倍以上の場合は「＊」を表示</t>
    <phoneticPr fontId="6"/>
  </si>
  <si>
    <t>Notice 1."－" represents no figure or PER・PBR&lt;0. "＊" represents PER&gt;1000.</t>
    <phoneticPr fontId="6"/>
  </si>
  <si>
    <t>Average PER and PBR by Section（Non-Consolidated）</t>
    <phoneticPr fontId="6"/>
  </si>
  <si>
    <t xml:space="preserve">       2.Figures of Net Income and Net Assets are based on the fixed figures during</t>
    <phoneticPr fontId="6"/>
  </si>
  <si>
    <t>Section</t>
    <phoneticPr fontId="6"/>
  </si>
  <si>
    <t>会社数</t>
  </si>
  <si>
    <t>単純＿PER（倍）</t>
  </si>
  <si>
    <t>単純＿PBR（倍）</t>
    <phoneticPr fontId="6"/>
  </si>
  <si>
    <t>単純＿1株当たり
当期純利益（円）</t>
    <phoneticPr fontId="2"/>
  </si>
  <si>
    <t>単純＿1株当たり
純資産（円）</t>
    <phoneticPr fontId="2"/>
  </si>
  <si>
    <t>加重＿PER（倍）</t>
  </si>
  <si>
    <t>加重＿PBR（倍）</t>
  </si>
  <si>
    <t>加重＿当期純利益（円）</t>
    <phoneticPr fontId="2"/>
  </si>
  <si>
    <t>加重＿純資産（円）</t>
    <phoneticPr fontId="2"/>
  </si>
  <si>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</si>
  <si>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</si>
  <si>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</si>
  <si>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</si>
  <si>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</si>
  <si>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</si>
  <si>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 xml:space="preserve">    3.本表の作成に当たって使用した親会社株主に帰属する当期純利益及び純資産は、2021年2月期～2022年1月期の確定数値である。</t>
  </si>
  <si>
    <t xml:space="preserve">       3.Figures of Net Income and Net Assets are based on the fixed figures during the term from February of 2021 to January of 2022.</t>
  </si>
  <si>
    <t xml:space="preserve">    2.本表の作成に当たって使用した当期純利益及び純資産は、2021年2月期～2022年1月期の確定数値である。</t>
  </si>
  <si>
    <t xml:space="preserve">         the term from February of 2021 to January of 2022.</t>
  </si>
  <si>
    <t>2022/04</t>
  </si>
  <si>
    <t>プライム市場</t>
  </si>
  <si>
    <t>Prime</t>
  </si>
  <si>
    <t>総合</t>
  </si>
  <si>
    <t>Composite</t>
  </si>
  <si>
    <t>総合（金融業を除く）</t>
  </si>
  <si>
    <t>Non-Financial</t>
  </si>
  <si>
    <t>　　　　　 製造業</t>
  </si>
  <si>
    <t xml:space="preserve">　　　　 Manufacturing </t>
  </si>
  <si>
    <t>　　　　 非製造業</t>
  </si>
  <si>
    <t xml:space="preserve">　　　　 Non-Manufacturing </t>
  </si>
  <si>
    <t>1 水産・農林業</t>
  </si>
  <si>
    <t>1 Fishery,Agriculture &amp; Forestry</t>
  </si>
  <si>
    <t>2 鉱業</t>
  </si>
  <si>
    <t>2 Mining</t>
  </si>
  <si>
    <t>3 建設業</t>
  </si>
  <si>
    <t>3 Construction</t>
  </si>
  <si>
    <t>4 食料品</t>
  </si>
  <si>
    <t>4 Foods</t>
  </si>
  <si>
    <t>5 繊維製品</t>
  </si>
  <si>
    <t>5 Textiles &amp; Apparels</t>
  </si>
  <si>
    <t>6 パルプ・紙</t>
  </si>
  <si>
    <t>6 Pulp &amp; Paper</t>
  </si>
  <si>
    <t>7 化学</t>
  </si>
  <si>
    <t>7 Chemicals</t>
  </si>
  <si>
    <t>8 医薬品</t>
  </si>
  <si>
    <t>8 Pharmaceutical</t>
  </si>
  <si>
    <t>9 石油・石炭製品</t>
  </si>
  <si>
    <t>9 Oil &amp; Coal Products</t>
  </si>
  <si>
    <t>10 ゴム製品</t>
  </si>
  <si>
    <t>10 Rubber Products</t>
  </si>
  <si>
    <t>11 ガラス・土石製品</t>
  </si>
  <si>
    <t>11 Glass &amp; Ceramics Products</t>
  </si>
  <si>
    <t>12 鉄鋼</t>
  </si>
  <si>
    <t>12 Iron &amp; Steel</t>
  </si>
  <si>
    <t>13 非鉄金属</t>
  </si>
  <si>
    <t>13 Nonferrous Metals</t>
  </si>
  <si>
    <t>14 金属製品</t>
  </si>
  <si>
    <t>14 Metal Products</t>
  </si>
  <si>
    <t>15 機械</t>
  </si>
  <si>
    <t>15 Machinery</t>
  </si>
  <si>
    <t>16 電気機器</t>
  </si>
  <si>
    <t>16 Electric Appliances</t>
  </si>
  <si>
    <t>17 輸送用機器</t>
  </si>
  <si>
    <t>17 Transportation Equipment</t>
  </si>
  <si>
    <t>18 精密機器</t>
  </si>
  <si>
    <t>18 Precision Instruments</t>
  </si>
  <si>
    <t>19 その他製品</t>
  </si>
  <si>
    <t>19 Other Products</t>
  </si>
  <si>
    <t>20 電気・ガス業</t>
  </si>
  <si>
    <t>20 Electric Power &amp; Gas</t>
  </si>
  <si>
    <t>21 陸運業</t>
  </si>
  <si>
    <t>21 Land Transportation</t>
  </si>
  <si>
    <t>22 海運業</t>
  </si>
  <si>
    <t>22 Marine Transportation</t>
  </si>
  <si>
    <t>23 空運業</t>
  </si>
  <si>
    <t>23 Air Transportation</t>
  </si>
  <si>
    <t>25 情報・通信業</t>
  </si>
  <si>
    <t>25 Information &amp; Communication</t>
  </si>
  <si>
    <t>26 卸売業</t>
  </si>
  <si>
    <t>26 Wholesale Trade</t>
  </si>
  <si>
    <t>27 小売業</t>
  </si>
  <si>
    <t>27 Retail Trade</t>
  </si>
  <si>
    <t>28 銀行業</t>
  </si>
  <si>
    <t>28 Banks</t>
  </si>
  <si>
    <t>29 証券、商品先物取引業</t>
  </si>
  <si>
    <t>29 Securities &amp; Commodity Futures</t>
  </si>
  <si>
    <t>30 保険業</t>
  </si>
  <si>
    <t>30 Insurance</t>
  </si>
  <si>
    <t>31 その他金融業</t>
  </si>
  <si>
    <t>31 Other Financing Business</t>
  </si>
  <si>
    <t>32 不動産業</t>
  </si>
  <si>
    <t>32 Real Estate</t>
  </si>
  <si>
    <t>33 サービス業</t>
  </si>
  <si>
    <t>33 Services</t>
  </si>
  <si>
    <t>スタンダード市場</t>
  </si>
  <si>
    <t>Standard</t>
  </si>
  <si>
    <t>グロース市場</t>
  </si>
  <si>
    <t>Growth</t>
  </si>
  <si>
    <t>－</t>
  </si>
  <si>
    <t>大型株</t>
  </si>
  <si>
    <t xml:space="preserve">Large </t>
  </si>
  <si>
    <t>中型株</t>
  </si>
  <si>
    <t xml:space="preserve">Medium </t>
  </si>
  <si>
    <t>小型株</t>
  </si>
  <si>
    <t xml:space="preserve">Small </t>
  </si>
  <si>
    <t>24 倉庫・運輸関連業</t>
    <rPh sb="10" eb="11">
      <t>ギョウ</t>
    </rPh>
    <phoneticPr fontId="2"/>
  </si>
  <si>
    <t>24 Warehousing &amp; Harbor Transportation Services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</si>
</sst>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10" x14ac:knownFonts="1">
    <font>
      <sz val="11"/>
      <color theme="1"/>
      <name val="ＭＳ Ｐゴシック"/>
      <family val="2"/>
      <charset val="128"/>
      <scheme val="minor"/>
    </font>
    <font>
      <sz val="12"/>
      <name val="ＭＳ ゴシック"/>
      <family val="3"/>
      <charset val="128"/>
    </font>
    <font>
      <sz val="6"/>
      <name val="ＭＳ Ｐゴシック"/>
      <family val="2"/>
      <charset val="128"/>
      <scheme val="minor"/>
    </font>
    <font>
      <sz val="6"/>
      <name val="ＭＳ Ｐゴシック"/>
      <family val="3"/>
      <charset val="128"/>
      <scheme val="minor"/>
    </font>
    <font>
      <sz val="10"/>
      <name val="ＭＳ ゴシック"/>
      <family val="3"/>
      <charset val="128"/>
    </font>
    <font>
      <sz val="8"/>
      <name val="ＭＳ ゴシック"/>
      <family val="3"/>
      <charset val="128"/>
    </font>
    <font>
      <sz val="6"/>
      <name val="ＭＳ Ｐゴシック"/>
      <family val="3"/>
      <charset val="128"/>
    </font>
    <font>
      <sz val="11"/>
      <name val="ＭＳ Ｐゴシック"/>
      <family val="2"/>
      <scheme val="minor"/>
    </font>
    <font>
      <sz val="11"/>
      <name val="ＭＳ Ｐゴシック"/>
      <family val="2"/>
      <charset val="128"/>
      <scheme val="minor"/>
    </font>
    <font>
      <sz val="9"/>
      <name val="ＭＳ ゴシック"/>
      <family val="3"/>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49" fontId="1" fillId="0" borderId="0" xfId="0" applyNumberFormat="1" applyFont="1" applyFill="1" applyBorder="1" applyAlignment="1">
      <alignment vertical="center"/>
    </xf>
    <xf numFmtId="0" fontId="4" fillId="0" borderId="0" xfId="0" applyFont="1" applyFill="1" applyBorder="1">
      <alignment vertical="center"/>
    </xf>
    <xf numFmtId="0" fontId="7" fillId="0" borderId="0" xfId="0" applyFont="1">
      <alignment vertical="center"/>
    </xf>
    <xf numFmtId="49" fontId="7" fillId="0" borderId="0" xfId="0" applyNumberFormat="1" applyFont="1">
      <alignment vertical="center"/>
    </xf>
    <xf numFmtId="0" fontId="8" fillId="0" borderId="0" xfId="0" applyFont="1">
      <alignment vertical="center"/>
    </xf>
    <xf numFmtId="49" fontId="4" fillId="0" borderId="1" xfId="0" applyNumberFormat="1" applyFont="1" applyFill="1" applyBorder="1" applyAlignment="1">
      <alignment vertical="center"/>
    </xf>
    <xf numFmtId="49" fontId="4" fillId="0" borderId="2" xfId="0" applyNumberFormat="1" applyFont="1" applyFill="1" applyBorder="1" applyAlignment="1">
      <alignment horizontal="center"/>
    </xf>
    <xf numFmtId="49" fontId="4" fillId="0" borderId="2" xfId="0" applyNumberFormat="1" applyFont="1" applyFill="1" applyBorder="1" applyAlignment="1">
      <alignment horizontal="center" wrapText="1"/>
    </xf>
    <xf numFmtId="3" fontId="4" fillId="0" borderId="2" xfId="0" applyNumberFormat="1" applyFont="1" applyBorder="1" applyAlignment="1">
      <alignment horizontal="right"/>
    </xf>
    <xf numFmtId="176" fontId="4" fillId="0" borderId="2" xfId="0" applyNumberFormat="1" applyFont="1" applyFill="1" applyBorder="1" applyAlignment="1">
      <alignment horizontal="right"/>
    </xf>
    <xf numFmtId="40" fontId="4" fillId="0" borderId="2" xfId="0" applyNumberFormat="1" applyFont="1" applyFill="1" applyBorder="1" applyAlignment="1">
      <alignment horizontal="right"/>
    </xf>
    <xf numFmtId="20" fontId="1" fillId="0" borderId="0" xfId="0" applyNumberFormat="1" applyFont="1" applyFill="1" applyBorder="1" applyAlignment="1">
      <alignment horizontal="left" vertical="center"/>
    </xf>
    <xf numFmtId="0" fontId="5" fillId="0" borderId="0" xfId="0" applyFont="1" applyFill="1" applyBorder="1" applyAlignment="1">
      <alignment wrapText="1"/>
    </xf>
    <xf numFmtId="49" fontId="4" fillId="0" borderId="0" xfId="0" applyNumberFormat="1" applyFont="1" applyFill="1" applyBorder="1">
      <alignment vertical="center"/>
    </xf>
    <xf numFmtId="0" fontId="5" fillId="0" borderId="0" xfId="0" applyFont="1" applyFill="1" applyBorder="1" applyAlignment="1">
      <alignment vertical="top" wrapText="1"/>
    </xf>
    <xf numFmtId="49" fontId="4" fillId="0" borderId="1" xfId="0" applyNumberFormat="1" applyFont="1" applyFill="1" applyBorder="1">
      <alignment vertical="center"/>
    </xf>
    <xf numFmtId="0" fontId="5" fillId="0" borderId="1" xfId="0" applyFont="1" applyFill="1" applyBorder="1" applyAlignment="1">
      <alignment vertical="top" wrapText="1"/>
    </xf>
    <xf numFmtId="0" fontId="7" fillId="0" borderId="0" xfId="0" applyFont="1" applyFill="1">
      <alignment vertical="center"/>
    </xf>
    <xf numFmtId="49" fontId="7" fillId="0" borderId="0" xfId="0" applyNumberFormat="1" applyFont="1" applyFill="1">
      <alignment vertical="center"/>
    </xf>
    <xf numFmtId="0" fontId="8" fillId="0" borderId="0" xfId="0" applyFont="1" applyFill="1">
      <alignment vertical="center"/>
    </xf>
    <xf numFmtId="177" fontId="4" fillId="0" borderId="2" xfId="0" applyNumberFormat="1" applyFont="1" applyBorder="1" applyAlignment="1">
      <alignment horizontal="right"/>
    </xf>
    <xf numFmtId="49" fontId="4" fillId="0" borderId="2" xfId="0" applyNumberFormat="1" applyFont="1" applyBorder="1" applyAlignment="1"/>
    <xf numFmtId="176" fontId="4" fillId="0" borderId="2" xfId="0" applyNumberFormat="1" applyFont="1" applyBorder="1" applyAlignment="1">
      <alignment horizontal="right"/>
    </xf>
    <xf numFmtId="38" fontId="4" fillId="0" borderId="2" xfId="0" applyNumberFormat="1" applyFont="1" applyBorder="1" applyAlignment="1">
      <alignment horizontal="right"/>
    </xf>
    <xf numFmtId="0" fontId="5" fillId="0" borderId="0" xfId="0" applyFont="1" applyFill="1" applyBorder="1" applyAlignment="1">
      <alignment horizontal="left" wrapText="1"/>
    </xf>
    <xf numFmtId="0" fontId="5" fillId="0" borderId="0" xfId="0" applyFont="1" applyFill="1" applyBorder="1" applyAlignment="1">
      <alignment horizontal="left" vertical="top" wrapText="1"/>
    </xf>
    <xf numFmtId="49" fontId="5" fillId="0" borderId="1" xfId="0" applyNumberFormat="1" applyFont="1" applyFill="1" applyBorder="1" applyAlignment="1">
      <alignment vertical="top" wrapText="1"/>
    </xf>
    <xf numFmtId="49" fontId="5" fillId="0" borderId="1" xfId="0" applyNumberFormat="1" applyFont="1" applyFill="1" applyBorder="1" applyAlignment="1">
      <alignment vertical="top"/>
    </xf>
    <xf numFmtId="49" fontId="9" fillId="0" borderId="3"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5" fillId="0" borderId="0" xfId="0" applyNumberFormat="1"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18"/>
  <sheetViews>
    <sheetView showGridLines="0" tabSelected="1" zoomScaleNormal="100" zoomScaleSheetLayoutView="55" workbookViewId="0">
      <pane ySplit="4" topLeftCell="A5" activePane="bottomLeft" state="frozen"/>
      <selection pane="bottomLeft" activeCell="A5" sqref="A5"/>
    </sheetView>
  </sheetViews>
  <sheetFormatPr defaultRowHeight="13.5" x14ac:dyDescent="0.15"/>
  <cols>
    <col min="1" max="1" width="12.75" style="5" customWidth="1" collapsed="1"/>
    <col min="2" max="2" width="16.625" style="5" customWidth="1" collapsed="1"/>
    <col min="3" max="3" width="11.75" style="5" bestFit="1" customWidth="1" collapsed="1"/>
    <col min="4" max="4" width="22.875" style="5" customWidth="1" collapsed="1"/>
    <col min="5" max="5" width="47.125" style="5" bestFit="1" customWidth="1" collapsed="1"/>
    <col min="6" max="6" width="12.625" style="5" customWidth="1" collapsed="1"/>
    <col min="7" max="10" width="20.625" style="5" customWidth="1" collapsed="1"/>
    <col min="11" max="14" width="26.125" style="5" customWidth="1" collapsed="1"/>
    <col min="15" max="17" width="9" style="5" collapsed="1"/>
    <col min="18" max="18" width="9" style="5" customWidth="1" collapsed="1"/>
    <col min="19" max="19" width="9" style="5" collapsed="1"/>
    <col min="20" max="21" width="9" style="5" customWidth="1" collapsed="1"/>
    <col min="22" max="16384" width="9" style="5" collapsed="1"/>
  </cols>
  <sheetData>
    <row r="1" spans="1:28" ht="33.75" customHeight="1" x14ac:dyDescent="0.15">
      <c r="A1" s="1" t="s">
        <v>0</v>
      </c>
      <c r="B1" s="2"/>
      <c r="C1" s="2"/>
      <c r="D1" s="2"/>
      <c r="E1" s="2"/>
      <c r="F1" s="25" t="s">
        <v>1</v>
      </c>
      <c r="G1" s="25"/>
      <c r="H1" s="25"/>
      <c r="I1" s="25"/>
      <c r="J1" s="25"/>
      <c r="K1" s="26" t="s">
        <v>2</v>
      </c>
      <c r="L1" s="26"/>
      <c r="M1" s="26"/>
      <c r="N1" s="26"/>
      <c r="O1" s="3"/>
      <c r="P1" s="3"/>
      <c r="Q1" s="3"/>
      <c r="R1" s="4"/>
      <c r="S1" s="3"/>
      <c r="T1" s="3"/>
      <c r="U1" s="3"/>
      <c r="V1" s="3"/>
      <c r="W1" s="3"/>
      <c r="X1" s="3"/>
      <c r="Y1" s="3"/>
      <c r="Z1" s="3"/>
      <c r="AA1" s="3"/>
      <c r="AB1" s="3"/>
    </row>
    <row r="2" spans="1:28" ht="27" customHeight="1" x14ac:dyDescent="0.15">
      <c r="A2" s="6" t="s">
        <v>3</v>
      </c>
      <c r="B2" s="2"/>
      <c r="C2" s="2"/>
      <c r="D2" s="2"/>
      <c r="E2" s="2"/>
      <c r="F2" s="27" t="s">
        <v>49</v>
      </c>
      <c r="G2" s="28"/>
      <c r="H2" s="28"/>
      <c r="I2" s="28"/>
      <c r="J2" s="28"/>
      <c r="K2" s="27" t="s">
        <v>50</v>
      </c>
      <c r="L2" s="27"/>
      <c r="M2" s="27"/>
      <c r="N2" s="27"/>
      <c r="O2" s="3"/>
      <c r="P2" s="3"/>
      <c r="Q2" s="3"/>
      <c r="R2" s="4"/>
      <c r="S2" s="3"/>
      <c r="T2" s="3"/>
      <c r="U2" s="3"/>
      <c r="V2" s="3"/>
      <c r="W2" s="3"/>
      <c r="X2" s="3"/>
      <c r="Y2" s="3"/>
      <c r="Z2" s="3"/>
      <c r="AA2" s="3"/>
      <c r="AB2" s="3"/>
    </row>
    <row r="3" spans="1:28" ht="24" x14ac:dyDescent="0.15">
      <c r="A3" s="7" t="s">
        <v>4</v>
      </c>
      <c r="B3" s="29" t="s">
        <v>5</v>
      </c>
      <c r="C3" s="31" t="s">
        <v>6</v>
      </c>
      <c r="D3" s="31" t="s">
        <v>7</v>
      </c>
      <c r="E3" s="31" t="s">
        <v>8</v>
      </c>
      <c r="F3" s="7" t="s">
        <v>9</v>
      </c>
      <c r="G3" s="7" t="s">
        <v>10</v>
      </c>
      <c r="H3" s="7" t="s">
        <v>11</v>
      </c>
      <c r="I3" s="8" t="s">
        <v>12</v>
      </c>
      <c r="J3" s="8" t="s">
        <v>13</v>
      </c>
      <c r="K3" s="7" t="s">
        <v>14</v>
      </c>
      <c r="L3" s="7" t="s">
        <v>15</v>
      </c>
      <c r="M3" s="8" t="s">
        <v>16</v>
      </c>
      <c r="N3" s="7" t="s">
        <v>17</v>
      </c>
      <c r="O3" s="3"/>
      <c r="P3" s="3"/>
      <c r="Q3" s="3"/>
      <c r="R3" s="4"/>
      <c r="S3" s="4"/>
      <c r="T3" s="4"/>
      <c r="U3" s="4"/>
      <c r="V3" s="4"/>
      <c r="W3" s="4"/>
      <c r="X3" s="4"/>
      <c r="Y3" s="4"/>
      <c r="Z3" s="4"/>
      <c r="AA3" s="4"/>
      <c r="AB3" s="4"/>
    </row>
    <row r="4" spans="1:28" ht="24" x14ac:dyDescent="0.15">
      <c r="A4" s="7" t="s">
        <v>18</v>
      </c>
      <c r="B4" s="30"/>
      <c r="C4" s="32"/>
      <c r="D4" s="32"/>
      <c r="E4" s="32"/>
      <c r="F4" s="7" t="s">
        <v>19</v>
      </c>
      <c r="G4" s="7" t="s">
        <v>20</v>
      </c>
      <c r="H4" s="7" t="s">
        <v>21</v>
      </c>
      <c r="I4" s="8" t="s">
        <v>22</v>
      </c>
      <c r="J4" s="8" t="s">
        <v>23</v>
      </c>
      <c r="K4" s="8" t="s">
        <v>24</v>
      </c>
      <c r="L4" s="8" t="s">
        <v>25</v>
      </c>
      <c r="M4" s="8" t="s">
        <v>26</v>
      </c>
      <c r="N4" s="8" t="s">
        <v>27</v>
      </c>
      <c r="O4" s="3"/>
      <c r="P4" s="3"/>
      <c r="Q4" s="3"/>
      <c r="R4" s="4"/>
      <c r="S4" s="4"/>
      <c r="T4" s="4"/>
      <c r="U4" s="4"/>
      <c r="V4" s="4"/>
      <c r="W4" s="4"/>
      <c r="X4" s="4"/>
      <c r="Y4" s="4"/>
      <c r="Z4" s="4"/>
      <c r="AA4" s="4"/>
      <c r="AB4" s="4"/>
    </row>
    <row r="5" spans="1:28" x14ac:dyDescent="0.15">
      <c r="A5" s="22" t="s">
        <v>53</v>
      </c>
      <c r="B5" s="22" t="s">
        <v>54</v>
      </c>
      <c r="C5" s="22" t="s">
        <v>55</v>
      </c>
      <c r="D5" s="22" t="s">
        <v>56</v>
      </c>
      <c r="E5" s="22" t="s">
        <v>57</v>
      </c>
      <c r="F5" s="9">
        <f>1821</f>
        <v>1821</v>
      </c>
      <c r="G5" s="10">
        <f>20.4</f>
        <v>20.399999999999999</v>
      </c>
      <c r="H5" s="10">
        <f>1.2</f>
        <v>1.2</v>
      </c>
      <c r="I5" s="11">
        <f>118.12</f>
        <v>118.12</v>
      </c>
      <c r="J5" s="11">
        <f>2002.61</f>
        <v>2002.61</v>
      </c>
      <c r="K5" s="10">
        <f>19.2</f>
        <v>19.2</v>
      </c>
      <c r="L5" s="10">
        <f>1.3</f>
        <v>1.3</v>
      </c>
      <c r="M5" s="21">
        <f>35977245284142</f>
        <v>35977245284142</v>
      </c>
      <c r="N5" s="21">
        <f>546584438714059</f>
        <v>546584438714059</v>
      </c>
      <c r="O5" s="3"/>
      <c r="P5" s="3"/>
      <c r="Q5" s="4"/>
      <c r="R5" s="4"/>
      <c r="S5" s="4"/>
      <c r="T5" s="4"/>
      <c r="U5" s="4"/>
      <c r="V5" s="4"/>
      <c r="W5" s="4"/>
      <c r="X5" s="4"/>
      <c r="Y5" s="4"/>
      <c r="Z5" s="4"/>
      <c r="AA5" s="4"/>
    </row>
    <row r="6" spans="1:28" x14ac:dyDescent="0.15">
      <c r="A6" s="22" t="s">
        <v>53</v>
      </c>
      <c r="B6" s="22" t="s">
        <v>54</v>
      </c>
      <c r="C6" s="22" t="s">
        <v>55</v>
      </c>
      <c r="D6" s="22" t="s">
        <v>58</v>
      </c>
      <c r="E6" s="22" t="s">
        <v>59</v>
      </c>
      <c r="F6" s="9">
        <f>1707</f>
        <v>1707</v>
      </c>
      <c r="G6" s="10">
        <f>21.2</f>
        <v>21.2</v>
      </c>
      <c r="H6" s="10">
        <f>1.3</f>
        <v>1.3</v>
      </c>
      <c r="I6" s="11">
        <f>116.1</f>
        <v>116.1</v>
      </c>
      <c r="J6" s="11">
        <f>1884.04</f>
        <v>1884.04</v>
      </c>
      <c r="K6" s="10">
        <f>20.5</f>
        <v>20.5</v>
      </c>
      <c r="L6" s="10">
        <f>1.4</f>
        <v>1.4</v>
      </c>
      <c r="M6" s="21">
        <f>30828628540775</f>
        <v>30828628540775</v>
      </c>
      <c r="N6" s="21">
        <f>436510731646892</f>
        <v>436510731646892</v>
      </c>
    </row>
    <row r="7" spans="1:28" x14ac:dyDescent="0.15">
      <c r="A7" s="22" t="s">
        <v>53</v>
      </c>
      <c r="B7" s="22" t="s">
        <v>54</v>
      </c>
      <c r="C7" s="22" t="s">
        <v>55</v>
      </c>
      <c r="D7" s="22" t="s">
        <v>60</v>
      </c>
      <c r="E7" s="22" t="s">
        <v>61</v>
      </c>
      <c r="F7" s="9">
        <f>776</f>
        <v>776</v>
      </c>
      <c r="G7" s="10">
        <f>20.6</f>
        <v>20.6</v>
      </c>
      <c r="H7" s="10">
        <f>1.2</f>
        <v>1.2</v>
      </c>
      <c r="I7" s="11">
        <f>134.29</f>
        <v>134.29</v>
      </c>
      <c r="J7" s="11">
        <f>2298.84</f>
        <v>2298.84</v>
      </c>
      <c r="K7" s="10">
        <f>22.3</f>
        <v>22.3</v>
      </c>
      <c r="L7" s="10">
        <f>1.5</f>
        <v>1.5</v>
      </c>
      <c r="M7" s="21">
        <f>16841104605704</f>
        <v>16841104605704</v>
      </c>
      <c r="N7" s="21">
        <f>246920972584892</f>
        <v>246920972584892</v>
      </c>
    </row>
    <row r="8" spans="1:28" x14ac:dyDescent="0.15">
      <c r="A8" s="22" t="s">
        <v>53</v>
      </c>
      <c r="B8" s="22" t="s">
        <v>54</v>
      </c>
      <c r="C8" s="22" t="s">
        <v>55</v>
      </c>
      <c r="D8" s="22" t="s">
        <v>62</v>
      </c>
      <c r="E8" s="22" t="s">
        <v>63</v>
      </c>
      <c r="F8" s="9">
        <f>931</f>
        <v>931</v>
      </c>
      <c r="G8" s="10">
        <f>21.9</f>
        <v>21.9</v>
      </c>
      <c r="H8" s="10">
        <f>1.4</f>
        <v>1.4</v>
      </c>
      <c r="I8" s="11">
        <f>100.94</f>
        <v>100.94</v>
      </c>
      <c r="J8" s="11">
        <f>1538.3</f>
        <v>1538.3</v>
      </c>
      <c r="K8" s="10">
        <f>18.3</f>
        <v>18.3</v>
      </c>
      <c r="L8" s="10">
        <f>1.3</f>
        <v>1.3</v>
      </c>
      <c r="M8" s="21">
        <f>13987523935071</f>
        <v>13987523935071</v>
      </c>
      <c r="N8" s="21">
        <f>189589759062000</f>
        <v>189589759062000</v>
      </c>
    </row>
    <row r="9" spans="1:28" x14ac:dyDescent="0.15">
      <c r="A9" s="22" t="s">
        <v>53</v>
      </c>
      <c r="B9" s="22" t="s">
        <v>54</v>
      </c>
      <c r="C9" s="22" t="s">
        <v>55</v>
      </c>
      <c r="D9" s="22" t="s">
        <v>64</v>
      </c>
      <c r="E9" s="22" t="s">
        <v>65</v>
      </c>
      <c r="F9" s="9">
        <f>6</f>
        <v>6</v>
      </c>
      <c r="G9" s="10">
        <f>15.1</f>
        <v>15.1</v>
      </c>
      <c r="H9" s="10">
        <f>1.2</f>
        <v>1.2</v>
      </c>
      <c r="I9" s="11">
        <f>151.36</f>
        <v>151.36000000000001</v>
      </c>
      <c r="J9" s="11">
        <f>1940.87</f>
        <v>1940.87</v>
      </c>
      <c r="K9" s="10">
        <f>16.3</f>
        <v>16.3</v>
      </c>
      <c r="L9" s="10">
        <f>1.2</f>
        <v>1.2</v>
      </c>
      <c r="M9" s="21">
        <f>40486000000</f>
        <v>40486000000</v>
      </c>
      <c r="N9" s="21">
        <f>570165000000</f>
        <v>570165000000</v>
      </c>
    </row>
    <row r="10" spans="1:28" x14ac:dyDescent="0.15">
      <c r="A10" s="22" t="s">
        <v>53</v>
      </c>
      <c r="B10" s="22" t="s">
        <v>54</v>
      </c>
      <c r="C10" s="22" t="s">
        <v>55</v>
      </c>
      <c r="D10" s="22" t="s">
        <v>66</v>
      </c>
      <c r="E10" s="22" t="s">
        <v>67</v>
      </c>
      <c r="F10" s="9">
        <f>5</f>
        <v>5</v>
      </c>
      <c r="G10" s="10">
        <f>33.2</f>
        <v>33.200000000000003</v>
      </c>
      <c r="H10" s="10">
        <f>0.5</f>
        <v>0.5</v>
      </c>
      <c r="I10" s="11">
        <f>85.96</f>
        <v>85.96</v>
      </c>
      <c r="J10" s="11">
        <f>5833.82</f>
        <v>5833.82</v>
      </c>
      <c r="K10" s="10">
        <f>10.7</f>
        <v>10.7</v>
      </c>
      <c r="L10" s="10">
        <f>0.6</f>
        <v>0.6</v>
      </c>
      <c r="M10" s="21">
        <f>223880000000</f>
        <v>223880000000</v>
      </c>
      <c r="N10" s="21">
        <f>4009716000000</f>
        <v>4009716000000</v>
      </c>
    </row>
    <row r="11" spans="1:28" x14ac:dyDescent="0.15">
      <c r="A11" s="22" t="s">
        <v>53</v>
      </c>
      <c r="B11" s="22" t="s">
        <v>54</v>
      </c>
      <c r="C11" s="22" t="s">
        <v>55</v>
      </c>
      <c r="D11" s="22" t="s">
        <v>68</v>
      </c>
      <c r="E11" s="22" t="s">
        <v>69</v>
      </c>
      <c r="F11" s="9">
        <f>82</f>
        <v>82</v>
      </c>
      <c r="G11" s="10">
        <f>9.7</f>
        <v>9.6999999999999993</v>
      </c>
      <c r="H11" s="10">
        <f>0.9</f>
        <v>0.9</v>
      </c>
      <c r="I11" s="11">
        <f>207.83</f>
        <v>207.83</v>
      </c>
      <c r="J11" s="11">
        <f>2356.44</f>
        <v>2356.44</v>
      </c>
      <c r="K11" s="10">
        <f>9.6</f>
        <v>9.6</v>
      </c>
      <c r="L11" s="10">
        <f>0.9</f>
        <v>0.9</v>
      </c>
      <c r="M11" s="21">
        <f>1466857000000</f>
        <v>1466857000000</v>
      </c>
      <c r="N11" s="21">
        <f>15263498978000</f>
        <v>15263498978000</v>
      </c>
    </row>
    <row r="12" spans="1:28" x14ac:dyDescent="0.15">
      <c r="A12" s="22" t="s">
        <v>53</v>
      </c>
      <c r="B12" s="22" t="s">
        <v>54</v>
      </c>
      <c r="C12" s="22" t="s">
        <v>55</v>
      </c>
      <c r="D12" s="22" t="s">
        <v>70</v>
      </c>
      <c r="E12" s="22" t="s">
        <v>71</v>
      </c>
      <c r="F12" s="9">
        <f>71</f>
        <v>71</v>
      </c>
      <c r="G12" s="10">
        <f>21.4</f>
        <v>21.4</v>
      </c>
      <c r="H12" s="10">
        <f>1.3</f>
        <v>1.3</v>
      </c>
      <c r="I12" s="11">
        <f>125.29</f>
        <v>125.29</v>
      </c>
      <c r="J12" s="11">
        <f>2088.95</f>
        <v>2088.9499999999998</v>
      </c>
      <c r="K12" s="10">
        <f>19.6</f>
        <v>19.600000000000001</v>
      </c>
      <c r="L12" s="10">
        <f>1.5</f>
        <v>1.5</v>
      </c>
      <c r="M12" s="21">
        <f>1249671236364</f>
        <v>1249671236364</v>
      </c>
      <c r="N12" s="21">
        <f>16129852215552</f>
        <v>16129852215552</v>
      </c>
    </row>
    <row r="13" spans="1:28" x14ac:dyDescent="0.15">
      <c r="A13" s="22" t="s">
        <v>53</v>
      </c>
      <c r="B13" s="22" t="s">
        <v>54</v>
      </c>
      <c r="C13" s="22" t="s">
        <v>55</v>
      </c>
      <c r="D13" s="22" t="s">
        <v>72</v>
      </c>
      <c r="E13" s="22" t="s">
        <v>73</v>
      </c>
      <c r="F13" s="9">
        <f>23</f>
        <v>23</v>
      </c>
      <c r="G13" s="10">
        <f>53.9</f>
        <v>53.9</v>
      </c>
      <c r="H13" s="10">
        <f>0.8</f>
        <v>0.8</v>
      </c>
      <c r="I13" s="11">
        <f>31.84</f>
        <v>31.84</v>
      </c>
      <c r="J13" s="11">
        <f>2225.56</f>
        <v>2225.56</v>
      </c>
      <c r="K13" s="10">
        <f>44.9</f>
        <v>44.9</v>
      </c>
      <c r="L13" s="10">
        <f>0.8</f>
        <v>0.8</v>
      </c>
      <c r="M13" s="21">
        <f>61551369340</f>
        <v>61551369340</v>
      </c>
      <c r="N13" s="21">
        <f>3323648369340</f>
        <v>3323648369340</v>
      </c>
    </row>
    <row r="14" spans="1:28" x14ac:dyDescent="0.15">
      <c r="A14" s="22" t="s">
        <v>53</v>
      </c>
      <c r="B14" s="22" t="s">
        <v>54</v>
      </c>
      <c r="C14" s="22" t="s">
        <v>55</v>
      </c>
      <c r="D14" s="22" t="s">
        <v>74</v>
      </c>
      <c r="E14" s="22" t="s">
        <v>75</v>
      </c>
      <c r="F14" s="9">
        <f>10</f>
        <v>10</v>
      </c>
      <c r="G14" s="10">
        <f>12.9</f>
        <v>12.9</v>
      </c>
      <c r="H14" s="10">
        <f>0.5</f>
        <v>0.5</v>
      </c>
      <c r="I14" s="11">
        <f>102.28</f>
        <v>102.28</v>
      </c>
      <c r="J14" s="11">
        <f>2534.98</f>
        <v>2534.98</v>
      </c>
      <c r="K14" s="10">
        <f>11.7</f>
        <v>11.7</v>
      </c>
      <c r="L14" s="10">
        <f>0.6</f>
        <v>0.6</v>
      </c>
      <c r="M14" s="21">
        <f>127438000000</f>
        <v>127438000000</v>
      </c>
      <c r="N14" s="21">
        <f>2380886000000</f>
        <v>2380886000000</v>
      </c>
    </row>
    <row r="15" spans="1:28" x14ac:dyDescent="0.15">
      <c r="A15" s="22" t="s">
        <v>53</v>
      </c>
      <c r="B15" s="22" t="s">
        <v>54</v>
      </c>
      <c r="C15" s="22" t="s">
        <v>55</v>
      </c>
      <c r="D15" s="22" t="s">
        <v>76</v>
      </c>
      <c r="E15" s="22" t="s">
        <v>77</v>
      </c>
      <c r="F15" s="9">
        <f>136</f>
        <v>136</v>
      </c>
      <c r="G15" s="10">
        <f>18.5</f>
        <v>18.5</v>
      </c>
      <c r="H15" s="10">
        <f>1.1</f>
        <v>1.1000000000000001</v>
      </c>
      <c r="I15" s="11">
        <f>134.32</f>
        <v>134.32</v>
      </c>
      <c r="J15" s="11">
        <f>2226.75</f>
        <v>2226.75</v>
      </c>
      <c r="K15" s="10">
        <f>23.3</f>
        <v>23.3</v>
      </c>
      <c r="L15" s="10">
        <f>1.5</f>
        <v>1.5</v>
      </c>
      <c r="M15" s="21">
        <f>1929092000000</f>
        <v>1929092000000</v>
      </c>
      <c r="N15" s="21">
        <f>29705936000000</f>
        <v>29705936000000</v>
      </c>
    </row>
    <row r="16" spans="1:28" x14ac:dyDescent="0.15">
      <c r="A16" s="22" t="s">
        <v>53</v>
      </c>
      <c r="B16" s="22" t="s">
        <v>54</v>
      </c>
      <c r="C16" s="22" t="s">
        <v>55</v>
      </c>
      <c r="D16" s="22" t="s">
        <v>78</v>
      </c>
      <c r="E16" s="22" t="s">
        <v>79</v>
      </c>
      <c r="F16" s="9">
        <f>33</f>
        <v>33</v>
      </c>
      <c r="G16" s="10">
        <f>22.3</f>
        <v>22.3</v>
      </c>
      <c r="H16" s="10">
        <f>1.4</f>
        <v>1.4</v>
      </c>
      <c r="I16" s="11">
        <f>128.79</f>
        <v>128.79</v>
      </c>
      <c r="J16" s="11">
        <f>2016.65</f>
        <v>2016.65</v>
      </c>
      <c r="K16" s="10">
        <f>24.6</f>
        <v>24.6</v>
      </c>
      <c r="L16" s="10">
        <f>2.1</f>
        <v>2.1</v>
      </c>
      <c r="M16" s="21">
        <f>1477152000000</f>
        <v>1477152000000</v>
      </c>
      <c r="N16" s="21">
        <f>17151209000000</f>
        <v>17151209000000</v>
      </c>
    </row>
    <row r="17" spans="1:14" x14ac:dyDescent="0.15">
      <c r="A17" s="22" t="s">
        <v>53</v>
      </c>
      <c r="B17" s="22" t="s">
        <v>54</v>
      </c>
      <c r="C17" s="22" t="s">
        <v>55</v>
      </c>
      <c r="D17" s="22" t="s">
        <v>80</v>
      </c>
      <c r="E17" s="22" t="s">
        <v>81</v>
      </c>
      <c r="F17" s="9">
        <f>7</f>
        <v>7</v>
      </c>
      <c r="G17" s="10">
        <f>6.5</f>
        <v>6.5</v>
      </c>
      <c r="H17" s="10">
        <f>0.7</f>
        <v>0.7</v>
      </c>
      <c r="I17" s="11">
        <f>216.66</f>
        <v>216.66</v>
      </c>
      <c r="J17" s="11">
        <f>2120.74</f>
        <v>2120.7399999999998</v>
      </c>
      <c r="K17" s="10">
        <f>11.4</f>
        <v>11.4</v>
      </c>
      <c r="L17" s="10">
        <f>0.6</f>
        <v>0.6</v>
      </c>
      <c r="M17" s="21">
        <f>252199000000</f>
        <v>252199000000</v>
      </c>
      <c r="N17" s="21">
        <f>4596291000000</f>
        <v>4596291000000</v>
      </c>
    </row>
    <row r="18" spans="1:14" x14ac:dyDescent="0.15">
      <c r="A18" s="22" t="s">
        <v>53</v>
      </c>
      <c r="B18" s="22" t="s">
        <v>54</v>
      </c>
      <c r="C18" s="22" t="s">
        <v>55</v>
      </c>
      <c r="D18" s="22" t="s">
        <v>82</v>
      </c>
      <c r="E18" s="22" t="s">
        <v>83</v>
      </c>
      <c r="F18" s="9">
        <f>11</f>
        <v>11</v>
      </c>
      <c r="G18" s="10">
        <f>10.1</f>
        <v>10.1</v>
      </c>
      <c r="H18" s="10">
        <f>0.8</f>
        <v>0.8</v>
      </c>
      <c r="I18" s="11">
        <f>186.84</f>
        <v>186.84</v>
      </c>
      <c r="J18" s="11">
        <f>2397.62</f>
        <v>2397.62</v>
      </c>
      <c r="K18" s="10">
        <f>8.4</f>
        <v>8.4</v>
      </c>
      <c r="L18" s="10">
        <f>1</f>
        <v>1</v>
      </c>
      <c r="M18" s="21">
        <f>546265000000</f>
        <v>546265000000</v>
      </c>
      <c r="N18" s="21">
        <f>4558603000000</f>
        <v>4558603000000</v>
      </c>
    </row>
    <row r="19" spans="1:14" x14ac:dyDescent="0.15">
      <c r="A19" s="22" t="s">
        <v>53</v>
      </c>
      <c r="B19" s="22" t="s">
        <v>54</v>
      </c>
      <c r="C19" s="22" t="s">
        <v>55</v>
      </c>
      <c r="D19" s="22" t="s">
        <v>84</v>
      </c>
      <c r="E19" s="22" t="s">
        <v>85</v>
      </c>
      <c r="F19" s="9">
        <f>24</f>
        <v>24</v>
      </c>
      <c r="G19" s="10">
        <f>15.2</f>
        <v>15.2</v>
      </c>
      <c r="H19" s="10">
        <f>0.9</f>
        <v>0.9</v>
      </c>
      <c r="I19" s="11">
        <f>200.05</f>
        <v>200.05</v>
      </c>
      <c r="J19" s="11">
        <f>3270.09</f>
        <v>3270.09</v>
      </c>
      <c r="K19" s="10">
        <f>12.8</f>
        <v>12.8</v>
      </c>
      <c r="L19" s="10">
        <f>0.9</f>
        <v>0.9</v>
      </c>
      <c r="M19" s="21">
        <f>376812000000</f>
        <v>376812000000</v>
      </c>
      <c r="N19" s="21">
        <f>5335476000000</f>
        <v>5335476000000</v>
      </c>
    </row>
    <row r="20" spans="1:14" x14ac:dyDescent="0.15">
      <c r="A20" s="22" t="s">
        <v>53</v>
      </c>
      <c r="B20" s="22" t="s">
        <v>54</v>
      </c>
      <c r="C20" s="22" t="s">
        <v>55</v>
      </c>
      <c r="D20" s="22" t="s">
        <v>86</v>
      </c>
      <c r="E20" s="22" t="s">
        <v>87</v>
      </c>
      <c r="F20" s="9">
        <f>23</f>
        <v>23</v>
      </c>
      <c r="G20" s="10">
        <f>21.7</f>
        <v>21.7</v>
      </c>
      <c r="H20" s="10">
        <f>0.5</f>
        <v>0.5</v>
      </c>
      <c r="I20" s="11">
        <f>90.06</f>
        <v>90.06</v>
      </c>
      <c r="J20" s="11">
        <f>3632.37</f>
        <v>3632.37</v>
      </c>
      <c r="K20" s="10" t="str">
        <f>"－"</f>
        <v>－</v>
      </c>
      <c r="L20" s="10">
        <f>0.6</f>
        <v>0.6</v>
      </c>
      <c r="M20" s="21">
        <f>-7175000000</f>
        <v>-7175000000</v>
      </c>
      <c r="N20" s="21">
        <f>8526725000000</f>
        <v>8526725000000</v>
      </c>
    </row>
    <row r="21" spans="1:14" x14ac:dyDescent="0.15">
      <c r="A21" s="22" t="s">
        <v>53</v>
      </c>
      <c r="B21" s="22" t="s">
        <v>54</v>
      </c>
      <c r="C21" s="22" t="s">
        <v>55</v>
      </c>
      <c r="D21" s="22" t="s">
        <v>88</v>
      </c>
      <c r="E21" s="22" t="s">
        <v>89</v>
      </c>
      <c r="F21" s="9">
        <f>21</f>
        <v>21</v>
      </c>
      <c r="G21" s="10">
        <f>16</f>
        <v>16</v>
      </c>
      <c r="H21" s="10">
        <f>0.8</f>
        <v>0.8</v>
      </c>
      <c r="I21" s="11">
        <f>130.12</f>
        <v>130.12</v>
      </c>
      <c r="J21" s="11">
        <f>2624.73</f>
        <v>2624.73</v>
      </c>
      <c r="K21" s="10">
        <f>16.7</f>
        <v>16.7</v>
      </c>
      <c r="L21" s="10">
        <f>0.8</f>
        <v>0.8</v>
      </c>
      <c r="M21" s="21">
        <f>284910000000</f>
        <v>284910000000</v>
      </c>
      <c r="N21" s="21">
        <f>5798806000000</f>
        <v>5798806000000</v>
      </c>
    </row>
    <row r="22" spans="1:14" x14ac:dyDescent="0.15">
      <c r="A22" s="22" t="s">
        <v>53</v>
      </c>
      <c r="B22" s="22" t="s">
        <v>54</v>
      </c>
      <c r="C22" s="22" t="s">
        <v>55</v>
      </c>
      <c r="D22" s="22" t="s">
        <v>90</v>
      </c>
      <c r="E22" s="22" t="s">
        <v>91</v>
      </c>
      <c r="F22" s="9">
        <f>31</f>
        <v>31</v>
      </c>
      <c r="G22" s="10">
        <f>11.5</f>
        <v>11.5</v>
      </c>
      <c r="H22" s="10">
        <f>0.6</f>
        <v>0.6</v>
      </c>
      <c r="I22" s="11">
        <f>153.64</f>
        <v>153.63999999999999</v>
      </c>
      <c r="J22" s="11">
        <f>2744.32</f>
        <v>2744.32</v>
      </c>
      <c r="K22" s="10">
        <f>14.9</f>
        <v>14.9</v>
      </c>
      <c r="L22" s="10">
        <f>0.8</f>
        <v>0.8</v>
      </c>
      <c r="M22" s="21">
        <f>238625000000</f>
        <v>238625000000</v>
      </c>
      <c r="N22" s="21">
        <f>4290063000000</f>
        <v>4290063000000</v>
      </c>
    </row>
    <row r="23" spans="1:14" x14ac:dyDescent="0.15">
      <c r="A23" s="22" t="s">
        <v>53</v>
      </c>
      <c r="B23" s="22" t="s">
        <v>54</v>
      </c>
      <c r="C23" s="22" t="s">
        <v>55</v>
      </c>
      <c r="D23" s="22" t="s">
        <v>92</v>
      </c>
      <c r="E23" s="22" t="s">
        <v>93</v>
      </c>
      <c r="F23" s="9">
        <f>125</f>
        <v>125</v>
      </c>
      <c r="G23" s="10">
        <f>23.9</f>
        <v>23.9</v>
      </c>
      <c r="H23" s="10">
        <f>1.3</f>
        <v>1.3</v>
      </c>
      <c r="I23" s="11">
        <f>122.31</f>
        <v>122.31</v>
      </c>
      <c r="J23" s="11">
        <f>2235.24</f>
        <v>2235.2399999999998</v>
      </c>
      <c r="K23" s="10">
        <f>26.3</f>
        <v>26.3</v>
      </c>
      <c r="L23" s="10">
        <f>1.5</f>
        <v>1.5</v>
      </c>
      <c r="M23" s="21">
        <f>1244829000000</f>
        <v>1244829000000</v>
      </c>
      <c r="N23" s="21">
        <f>21297685000000</f>
        <v>21297685000000</v>
      </c>
    </row>
    <row r="24" spans="1:14" x14ac:dyDescent="0.15">
      <c r="A24" s="22" t="s">
        <v>53</v>
      </c>
      <c r="B24" s="22" t="s">
        <v>54</v>
      </c>
      <c r="C24" s="22" t="s">
        <v>55</v>
      </c>
      <c r="D24" s="22" t="s">
        <v>94</v>
      </c>
      <c r="E24" s="22" t="s">
        <v>95</v>
      </c>
      <c r="F24" s="9">
        <f>140</f>
        <v>140</v>
      </c>
      <c r="G24" s="10">
        <f>23.8</f>
        <v>23.8</v>
      </c>
      <c r="H24" s="10">
        <f>1.8</f>
        <v>1.8</v>
      </c>
      <c r="I24" s="11">
        <f>164.7</f>
        <v>164.7</v>
      </c>
      <c r="J24" s="11">
        <f>2228.28</f>
        <v>2228.2800000000002</v>
      </c>
      <c r="K24" s="10">
        <f>22.4</f>
        <v>22.4</v>
      </c>
      <c r="L24" s="10">
        <f>2.1</f>
        <v>2.1</v>
      </c>
      <c r="M24" s="21">
        <f>4855530000000</f>
        <v>4855530000000</v>
      </c>
      <c r="N24" s="21">
        <f>51226529000000</f>
        <v>51226529000000</v>
      </c>
    </row>
    <row r="25" spans="1:14" x14ac:dyDescent="0.15">
      <c r="A25" s="22" t="s">
        <v>53</v>
      </c>
      <c r="B25" s="22" t="s">
        <v>54</v>
      </c>
      <c r="C25" s="22" t="s">
        <v>55</v>
      </c>
      <c r="D25" s="22" t="s">
        <v>96</v>
      </c>
      <c r="E25" s="22" t="s">
        <v>97</v>
      </c>
      <c r="F25" s="9">
        <f>50</f>
        <v>50</v>
      </c>
      <c r="G25" s="10">
        <f>29.5</f>
        <v>29.5</v>
      </c>
      <c r="H25" s="10">
        <f>0.8</f>
        <v>0.8</v>
      </c>
      <c r="I25" s="11">
        <f>67.34</f>
        <v>67.34</v>
      </c>
      <c r="J25" s="11">
        <f>2529.92</f>
        <v>2529.92</v>
      </c>
      <c r="K25" s="10">
        <f>21.6</f>
        <v>21.6</v>
      </c>
      <c r="L25" s="10">
        <f>1.1</f>
        <v>1.1000000000000001</v>
      </c>
      <c r="M25" s="21">
        <f>3080130000000</f>
        <v>3080130000000</v>
      </c>
      <c r="N25" s="21">
        <f>60606463000000</f>
        <v>60606463000000</v>
      </c>
    </row>
    <row r="26" spans="1:14" x14ac:dyDescent="0.15">
      <c r="A26" s="22" t="s">
        <v>53</v>
      </c>
      <c r="B26" s="22" t="s">
        <v>54</v>
      </c>
      <c r="C26" s="22" t="s">
        <v>55</v>
      </c>
      <c r="D26" s="22" t="s">
        <v>98</v>
      </c>
      <c r="E26" s="22" t="s">
        <v>99</v>
      </c>
      <c r="F26" s="9">
        <f>30</f>
        <v>30</v>
      </c>
      <c r="G26" s="10">
        <f>26</f>
        <v>26</v>
      </c>
      <c r="H26" s="10">
        <f>1.6</f>
        <v>1.6</v>
      </c>
      <c r="I26" s="11">
        <f>86.58</f>
        <v>86.58</v>
      </c>
      <c r="J26" s="11">
        <f>1418.44</f>
        <v>1418.44</v>
      </c>
      <c r="K26" s="10">
        <f>53.9</f>
        <v>53.9</v>
      </c>
      <c r="L26" s="10">
        <f>3.5</f>
        <v>3.5</v>
      </c>
      <c r="M26" s="21">
        <f>278357000000</f>
        <v>278357000000</v>
      </c>
      <c r="N26" s="21">
        <f>4302806000000</f>
        <v>4302806000000</v>
      </c>
    </row>
    <row r="27" spans="1:14" x14ac:dyDescent="0.15">
      <c r="A27" s="22" t="s">
        <v>53</v>
      </c>
      <c r="B27" s="22" t="s">
        <v>54</v>
      </c>
      <c r="C27" s="22" t="s">
        <v>55</v>
      </c>
      <c r="D27" s="22" t="s">
        <v>100</v>
      </c>
      <c r="E27" s="22" t="s">
        <v>101</v>
      </c>
      <c r="F27" s="9">
        <f>41</f>
        <v>41</v>
      </c>
      <c r="G27" s="10">
        <f>16.4</f>
        <v>16.399999999999999</v>
      </c>
      <c r="H27" s="10">
        <f>1.7</f>
        <v>1.7</v>
      </c>
      <c r="I27" s="11">
        <f>214.3</f>
        <v>214.3</v>
      </c>
      <c r="J27" s="11">
        <f>2092.82</f>
        <v>2092.8200000000002</v>
      </c>
      <c r="K27" s="10">
        <f>18.1</f>
        <v>18.100000000000001</v>
      </c>
      <c r="L27" s="10">
        <f>2</f>
        <v>2</v>
      </c>
      <c r="M27" s="21">
        <f>845718000000</f>
        <v>845718000000</v>
      </c>
      <c r="N27" s="21">
        <f>7689994000000</f>
        <v>7689994000000</v>
      </c>
    </row>
    <row r="28" spans="1:14" x14ac:dyDescent="0.15">
      <c r="A28" s="22" t="s">
        <v>53</v>
      </c>
      <c r="B28" s="22" t="s">
        <v>54</v>
      </c>
      <c r="C28" s="22" t="s">
        <v>55</v>
      </c>
      <c r="D28" s="22" t="s">
        <v>102</v>
      </c>
      <c r="E28" s="22" t="s">
        <v>103</v>
      </c>
      <c r="F28" s="9">
        <f>22</f>
        <v>22</v>
      </c>
      <c r="G28" s="10">
        <f>12.5</f>
        <v>12.5</v>
      </c>
      <c r="H28" s="10">
        <f>0.7</f>
        <v>0.7</v>
      </c>
      <c r="I28" s="11">
        <f>106.06</f>
        <v>106.06</v>
      </c>
      <c r="J28" s="11">
        <f>1902.08</f>
        <v>1902.08</v>
      </c>
      <c r="K28" s="10">
        <f>9.9</f>
        <v>9.9</v>
      </c>
      <c r="L28" s="10">
        <f>0.6</f>
        <v>0.6</v>
      </c>
      <c r="M28" s="21">
        <f>766741000000</f>
        <v>766741000000</v>
      </c>
      <c r="N28" s="21">
        <f>13153195000000</f>
        <v>13153195000000</v>
      </c>
    </row>
    <row r="29" spans="1:14" x14ac:dyDescent="0.15">
      <c r="A29" s="22" t="s">
        <v>53</v>
      </c>
      <c r="B29" s="22" t="s">
        <v>54</v>
      </c>
      <c r="C29" s="22" t="s">
        <v>55</v>
      </c>
      <c r="D29" s="22" t="s">
        <v>104</v>
      </c>
      <c r="E29" s="22" t="s">
        <v>105</v>
      </c>
      <c r="F29" s="9">
        <f>39</f>
        <v>39</v>
      </c>
      <c r="G29" s="10" t="str">
        <f>"－"</f>
        <v>－</v>
      </c>
      <c r="H29" s="10">
        <f>1.1</f>
        <v>1.1000000000000001</v>
      </c>
      <c r="I29" s="11">
        <f>-65.15</f>
        <v>-65.150000000000006</v>
      </c>
      <c r="J29" s="11">
        <f>2909.11</f>
        <v>2909.11</v>
      </c>
      <c r="K29" s="10" t="str">
        <f>"－"</f>
        <v>－</v>
      </c>
      <c r="L29" s="10">
        <f>1.2</f>
        <v>1.2</v>
      </c>
      <c r="M29" s="21">
        <f>-1186396000000</f>
        <v>-1186396000000</v>
      </c>
      <c r="N29" s="21">
        <f>16216443000000</f>
        <v>16216443000000</v>
      </c>
    </row>
    <row r="30" spans="1:14" x14ac:dyDescent="0.15">
      <c r="A30" s="22" t="s">
        <v>53</v>
      </c>
      <c r="B30" s="22" t="s">
        <v>54</v>
      </c>
      <c r="C30" s="22" t="s">
        <v>55</v>
      </c>
      <c r="D30" s="22" t="s">
        <v>106</v>
      </c>
      <c r="E30" s="22" t="s">
        <v>107</v>
      </c>
      <c r="F30" s="9">
        <f>5</f>
        <v>5</v>
      </c>
      <c r="G30" s="10">
        <f>9.3</f>
        <v>9.3000000000000007</v>
      </c>
      <c r="H30" s="10">
        <f>1.7</f>
        <v>1.7</v>
      </c>
      <c r="I30" s="11">
        <f>510.14</f>
        <v>510.14</v>
      </c>
      <c r="J30" s="11">
        <f>2795.41</f>
        <v>2795.41</v>
      </c>
      <c r="K30" s="10">
        <f>10</f>
        <v>10</v>
      </c>
      <c r="L30" s="10">
        <f>1.9</f>
        <v>1.9</v>
      </c>
      <c r="M30" s="21">
        <f>351761000000</f>
        <v>351761000000</v>
      </c>
      <c r="N30" s="21">
        <f>1858960000000</f>
        <v>1858960000000</v>
      </c>
    </row>
    <row r="31" spans="1:14" x14ac:dyDescent="0.15">
      <c r="A31" s="22" t="s">
        <v>53</v>
      </c>
      <c r="B31" s="22" t="s">
        <v>54</v>
      </c>
      <c r="C31" s="22" t="s">
        <v>55</v>
      </c>
      <c r="D31" s="22" t="s">
        <v>108</v>
      </c>
      <c r="E31" s="22" t="s">
        <v>109</v>
      </c>
      <c r="F31" s="9">
        <f>2</f>
        <v>2</v>
      </c>
      <c r="G31" s="10" t="str">
        <f>"－"</f>
        <v>－</v>
      </c>
      <c r="H31" s="10">
        <f>1.1</f>
        <v>1.1000000000000001</v>
      </c>
      <c r="I31" s="11">
        <f>-745.66</f>
        <v>-745.66</v>
      </c>
      <c r="J31" s="11">
        <f>2167.82</f>
        <v>2167.8200000000002</v>
      </c>
      <c r="K31" s="10" t="str">
        <f>"－"</f>
        <v>－</v>
      </c>
      <c r="L31" s="10">
        <f>1.1</f>
        <v>1.1000000000000001</v>
      </c>
      <c r="M31" s="21">
        <f>-691317000000</f>
        <v>-691317000000</v>
      </c>
      <c r="N31" s="21">
        <f>1993855000000</f>
        <v>1993855000000</v>
      </c>
    </row>
    <row r="32" spans="1:14" x14ac:dyDescent="0.15">
      <c r="A32" s="22" t="s">
        <v>53</v>
      </c>
      <c r="B32" s="22" t="s">
        <v>54</v>
      </c>
      <c r="C32" s="22" t="s">
        <v>55</v>
      </c>
      <c r="D32" s="22" t="s">
        <v>139</v>
      </c>
      <c r="E32" s="22" t="s">
        <v>140</v>
      </c>
      <c r="F32" s="9">
        <f>16</f>
        <v>16</v>
      </c>
      <c r="G32" s="10">
        <f>10.6</f>
        <v>10.6</v>
      </c>
      <c r="H32" s="10">
        <f>0.9</f>
        <v>0.9</v>
      </c>
      <c r="I32" s="11">
        <f>195.5</f>
        <v>195.5</v>
      </c>
      <c r="J32" s="11">
        <f>2223.75</f>
        <v>2223.75</v>
      </c>
      <c r="K32" s="10">
        <f>10.6</f>
        <v>10.6</v>
      </c>
      <c r="L32" s="10">
        <f>0.9</f>
        <v>0.9</v>
      </c>
      <c r="M32" s="21">
        <f>125572000000</f>
        <v>125572000000</v>
      </c>
      <c r="N32" s="21">
        <f>1495516000000</f>
        <v>1495516000000</v>
      </c>
    </row>
    <row r="33" spans="1:14" x14ac:dyDescent="0.15">
      <c r="A33" s="22" t="s">
        <v>53</v>
      </c>
      <c r="B33" s="22" t="s">
        <v>54</v>
      </c>
      <c r="C33" s="22" t="s">
        <v>55</v>
      </c>
      <c r="D33" s="22" t="s">
        <v>110</v>
      </c>
      <c r="E33" s="22" t="s">
        <v>111</v>
      </c>
      <c r="F33" s="9">
        <f>205</f>
        <v>205</v>
      </c>
      <c r="G33" s="10">
        <f>22.4</f>
        <v>22.4</v>
      </c>
      <c r="H33" s="10">
        <f>2.3</f>
        <v>2.2999999999999998</v>
      </c>
      <c r="I33" s="11">
        <f>104.44</f>
        <v>104.44</v>
      </c>
      <c r="J33" s="11">
        <f>999.25</f>
        <v>999.25</v>
      </c>
      <c r="K33" s="10">
        <f>9.3</f>
        <v>9.3000000000000007</v>
      </c>
      <c r="L33" s="10">
        <f>1.7</f>
        <v>1.7</v>
      </c>
      <c r="M33" s="21">
        <f>8319777000000</f>
        <v>8319777000000</v>
      </c>
      <c r="N33" s="21">
        <f>44412675000000</f>
        <v>44412675000000</v>
      </c>
    </row>
    <row r="34" spans="1:14" x14ac:dyDescent="0.15">
      <c r="A34" s="22" t="s">
        <v>53</v>
      </c>
      <c r="B34" s="22" t="s">
        <v>54</v>
      </c>
      <c r="C34" s="22" t="s">
        <v>55</v>
      </c>
      <c r="D34" s="22" t="s">
        <v>112</v>
      </c>
      <c r="E34" s="22" t="s">
        <v>113</v>
      </c>
      <c r="F34" s="9">
        <f>139</f>
        <v>139</v>
      </c>
      <c r="G34" s="10">
        <f>14.5</f>
        <v>14.5</v>
      </c>
      <c r="H34" s="10">
        <f>0.9</f>
        <v>0.9</v>
      </c>
      <c r="I34" s="11">
        <f>140.56</f>
        <v>140.56</v>
      </c>
      <c r="J34" s="11">
        <f>2214.44</f>
        <v>2214.44</v>
      </c>
      <c r="K34" s="10">
        <f>20.5</f>
        <v>20.5</v>
      </c>
      <c r="L34" s="10">
        <f>1.1</f>
        <v>1.1000000000000001</v>
      </c>
      <c r="M34" s="21">
        <f>1767351666667</f>
        <v>1767351666667</v>
      </c>
      <c r="N34" s="21">
        <f>32297521000000</f>
        <v>32297521000000</v>
      </c>
    </row>
    <row r="35" spans="1:14" x14ac:dyDescent="0.15">
      <c r="A35" s="22" t="s">
        <v>53</v>
      </c>
      <c r="B35" s="22" t="s">
        <v>54</v>
      </c>
      <c r="C35" s="22" t="s">
        <v>55</v>
      </c>
      <c r="D35" s="22" t="s">
        <v>114</v>
      </c>
      <c r="E35" s="22" t="s">
        <v>115</v>
      </c>
      <c r="F35" s="9">
        <f>159</f>
        <v>159</v>
      </c>
      <c r="G35" s="10">
        <f>30.5</f>
        <v>30.5</v>
      </c>
      <c r="H35" s="10">
        <f>1.7</f>
        <v>1.7</v>
      </c>
      <c r="I35" s="11">
        <f>80.46</f>
        <v>80.459999999999994</v>
      </c>
      <c r="J35" s="11">
        <f>1452.32</f>
        <v>1452.32</v>
      </c>
      <c r="K35" s="10">
        <f>34.7</f>
        <v>34.700000000000003</v>
      </c>
      <c r="L35" s="10">
        <f>1.8</f>
        <v>1.8</v>
      </c>
      <c r="M35" s="21">
        <f>1002163262556</f>
        <v>1002163262556</v>
      </c>
      <c r="N35" s="21">
        <f>19000146000000</f>
        <v>19000146000000</v>
      </c>
    </row>
    <row r="36" spans="1:14" x14ac:dyDescent="0.15">
      <c r="A36" s="22" t="s">
        <v>53</v>
      </c>
      <c r="B36" s="22" t="s">
        <v>54</v>
      </c>
      <c r="C36" s="22" t="s">
        <v>55</v>
      </c>
      <c r="D36" s="22" t="s">
        <v>116</v>
      </c>
      <c r="E36" s="22" t="s">
        <v>117</v>
      </c>
      <c r="F36" s="9">
        <f>64</f>
        <v>64</v>
      </c>
      <c r="G36" s="10">
        <f>9.6</f>
        <v>9.6</v>
      </c>
      <c r="H36" s="10">
        <f>0.3</f>
        <v>0.3</v>
      </c>
      <c r="I36" s="11">
        <f>137.95</f>
        <v>137.94999999999999</v>
      </c>
      <c r="J36" s="11">
        <f>5092.68</f>
        <v>5092.68</v>
      </c>
      <c r="K36" s="10">
        <f>11.1</f>
        <v>11.1</v>
      </c>
      <c r="L36" s="10">
        <f>0.4</f>
        <v>0.4</v>
      </c>
      <c r="M36" s="21">
        <f>2994541943367</f>
        <v>2994541943367</v>
      </c>
      <c r="N36" s="21">
        <f>77959693267167</f>
        <v>77959693267167</v>
      </c>
    </row>
    <row r="37" spans="1:14" x14ac:dyDescent="0.15">
      <c r="A37" s="22" t="s">
        <v>53</v>
      </c>
      <c r="B37" s="22" t="s">
        <v>54</v>
      </c>
      <c r="C37" s="22" t="s">
        <v>55</v>
      </c>
      <c r="D37" s="22" t="s">
        <v>118</v>
      </c>
      <c r="E37" s="22" t="s">
        <v>119</v>
      </c>
      <c r="F37" s="9">
        <f>20</f>
        <v>20</v>
      </c>
      <c r="G37" s="10">
        <f>8.4</f>
        <v>8.4</v>
      </c>
      <c r="H37" s="10">
        <f>0.8</f>
        <v>0.8</v>
      </c>
      <c r="I37" s="11">
        <f>88.81</f>
        <v>88.81</v>
      </c>
      <c r="J37" s="11">
        <f>988</f>
        <v>988</v>
      </c>
      <c r="K37" s="10">
        <f>9.8</f>
        <v>9.8000000000000007</v>
      </c>
      <c r="L37" s="10">
        <f>0.7</f>
        <v>0.7</v>
      </c>
      <c r="M37" s="21">
        <f>451414000000</f>
        <v>451414000000</v>
      </c>
      <c r="N37" s="21">
        <f>6250528000000</f>
        <v>6250528000000</v>
      </c>
    </row>
    <row r="38" spans="1:14" x14ac:dyDescent="0.15">
      <c r="A38" s="22" t="s">
        <v>53</v>
      </c>
      <c r="B38" s="22" t="s">
        <v>54</v>
      </c>
      <c r="C38" s="22" t="s">
        <v>55</v>
      </c>
      <c r="D38" s="22" t="s">
        <v>120</v>
      </c>
      <c r="E38" s="22" t="s">
        <v>121</v>
      </c>
      <c r="F38" s="9">
        <f>8</f>
        <v>8</v>
      </c>
      <c r="G38" s="10">
        <f>12</f>
        <v>12</v>
      </c>
      <c r="H38" s="10">
        <f>0.8</f>
        <v>0.8</v>
      </c>
      <c r="I38" s="11">
        <f>251.47</f>
        <v>251.47</v>
      </c>
      <c r="J38" s="11">
        <f>3950.6</f>
        <v>3950.6</v>
      </c>
      <c r="K38" s="10">
        <f>11.8</f>
        <v>11.8</v>
      </c>
      <c r="L38" s="10">
        <f>0.7</f>
        <v>0.7</v>
      </c>
      <c r="M38" s="21">
        <f>1143758000000</f>
        <v>1143758000000</v>
      </c>
      <c r="N38" s="21">
        <f>18114806000000</f>
        <v>18114806000000</v>
      </c>
    </row>
    <row r="39" spans="1:14" x14ac:dyDescent="0.15">
      <c r="A39" s="22" t="s">
        <v>53</v>
      </c>
      <c r="B39" s="22" t="s">
        <v>54</v>
      </c>
      <c r="C39" s="22" t="s">
        <v>55</v>
      </c>
      <c r="D39" s="22" t="s">
        <v>122</v>
      </c>
      <c r="E39" s="22" t="s">
        <v>123</v>
      </c>
      <c r="F39" s="9">
        <f>22</f>
        <v>22</v>
      </c>
      <c r="G39" s="10">
        <f>10.9</f>
        <v>10.9</v>
      </c>
      <c r="H39" s="10">
        <f>0.9</f>
        <v>0.9</v>
      </c>
      <c r="I39" s="11">
        <f>195.49</f>
        <v>195.49</v>
      </c>
      <c r="J39" s="11">
        <f>2427.4</f>
        <v>2427.4</v>
      </c>
      <c r="K39" s="10">
        <f>13.6</f>
        <v>13.6</v>
      </c>
      <c r="L39" s="10">
        <f>1</f>
        <v>1</v>
      </c>
      <c r="M39" s="21">
        <f>558902800000</f>
        <v>558902800000</v>
      </c>
      <c r="N39" s="21">
        <f>7748679800000</f>
        <v>7748679800000</v>
      </c>
    </row>
    <row r="40" spans="1:14" x14ac:dyDescent="0.15">
      <c r="A40" s="22" t="s">
        <v>53</v>
      </c>
      <c r="B40" s="22" t="s">
        <v>54</v>
      </c>
      <c r="C40" s="22" t="s">
        <v>55</v>
      </c>
      <c r="D40" s="22" t="s">
        <v>124</v>
      </c>
      <c r="E40" s="22" t="s">
        <v>125</v>
      </c>
      <c r="F40" s="9">
        <f>63</f>
        <v>63</v>
      </c>
      <c r="G40" s="10">
        <f>13.8</f>
        <v>13.8</v>
      </c>
      <c r="H40" s="10">
        <f>1.2</f>
        <v>1.2</v>
      </c>
      <c r="I40" s="11">
        <f>113.75</f>
        <v>113.75</v>
      </c>
      <c r="J40" s="11">
        <f>1358.98</f>
        <v>1358.98</v>
      </c>
      <c r="K40" s="10">
        <f>16.9</f>
        <v>16.899999999999999</v>
      </c>
      <c r="L40" s="10">
        <f>1.1</f>
        <v>1.1000000000000001</v>
      </c>
      <c r="M40" s="21">
        <f>812495000000</f>
        <v>812495000000</v>
      </c>
      <c r="N40" s="21">
        <f>12123519000000</f>
        <v>12123519000000</v>
      </c>
    </row>
    <row r="41" spans="1:14" x14ac:dyDescent="0.15">
      <c r="A41" s="22" t="s">
        <v>53</v>
      </c>
      <c r="B41" s="22" t="s">
        <v>54</v>
      </c>
      <c r="C41" s="22" t="s">
        <v>55</v>
      </c>
      <c r="D41" s="22" t="s">
        <v>126</v>
      </c>
      <c r="E41" s="22" t="s">
        <v>127</v>
      </c>
      <c r="F41" s="9">
        <f>188</f>
        <v>188</v>
      </c>
      <c r="G41" s="10">
        <f>37.1</f>
        <v>37.1</v>
      </c>
      <c r="H41" s="10">
        <f>2.5</f>
        <v>2.5</v>
      </c>
      <c r="I41" s="11">
        <f>56.95</f>
        <v>56.95</v>
      </c>
      <c r="J41" s="11">
        <f>849.64</f>
        <v>849.64</v>
      </c>
      <c r="K41" s="10">
        <f>42.5</f>
        <v>42.5</v>
      </c>
      <c r="L41" s="10">
        <f>1.5</f>
        <v>1.5</v>
      </c>
      <c r="M41" s="21">
        <f>988153005848</f>
        <v>988153005848</v>
      </c>
      <c r="N41" s="21">
        <f>27194549084000</f>
        <v>27194549084000</v>
      </c>
    </row>
    <row r="42" spans="1:14" x14ac:dyDescent="0.15">
      <c r="A42" s="22" t="s">
        <v>53</v>
      </c>
      <c r="B42" s="22" t="s">
        <v>128</v>
      </c>
      <c r="C42" s="22" t="s">
        <v>129</v>
      </c>
      <c r="D42" s="22" t="s">
        <v>56</v>
      </c>
      <c r="E42" s="22" t="s">
        <v>57</v>
      </c>
      <c r="F42" s="9">
        <f>1454</f>
        <v>1454</v>
      </c>
      <c r="G42" s="10">
        <f>21.7</f>
        <v>21.7</v>
      </c>
      <c r="H42" s="10">
        <f>0.7</f>
        <v>0.7</v>
      </c>
      <c r="I42" s="11">
        <f>60.64</f>
        <v>60.64</v>
      </c>
      <c r="J42" s="11">
        <f>1767.73</f>
        <v>1767.73</v>
      </c>
      <c r="K42" s="10">
        <f>25.8</f>
        <v>25.8</v>
      </c>
      <c r="L42" s="10">
        <f>1</f>
        <v>1</v>
      </c>
      <c r="M42" s="21">
        <f>830688061724</f>
        <v>830688061724</v>
      </c>
      <c r="N42" s="21">
        <f>22191345934557</f>
        <v>22191345934557</v>
      </c>
    </row>
    <row r="43" spans="1:14" x14ac:dyDescent="0.15">
      <c r="A43" s="22" t="s">
        <v>53</v>
      </c>
      <c r="B43" s="22" t="s">
        <v>128</v>
      </c>
      <c r="C43" s="22" t="s">
        <v>129</v>
      </c>
      <c r="D43" s="22" t="s">
        <v>58</v>
      </c>
      <c r="E43" s="22" t="s">
        <v>59</v>
      </c>
      <c r="F43" s="9">
        <f>1414</f>
        <v>1414</v>
      </c>
      <c r="G43" s="10">
        <f>21.9</f>
        <v>21.9</v>
      </c>
      <c r="H43" s="10">
        <f>0.8</f>
        <v>0.8</v>
      </c>
      <c r="I43" s="11">
        <f>60.93</f>
        <v>60.93</v>
      </c>
      <c r="J43" s="11">
        <f>1767.06</f>
        <v>1767.06</v>
      </c>
      <c r="K43" s="10">
        <f>29</f>
        <v>29</v>
      </c>
      <c r="L43" s="10">
        <f>1</f>
        <v>1</v>
      </c>
      <c r="M43" s="21">
        <f>682938343750</f>
        <v>682938343750</v>
      </c>
      <c r="N43" s="21">
        <f>19784830059557</f>
        <v>19784830059557</v>
      </c>
    </row>
    <row r="44" spans="1:14" x14ac:dyDescent="0.15">
      <c r="A44" s="22" t="s">
        <v>53</v>
      </c>
      <c r="B44" s="22" t="s">
        <v>128</v>
      </c>
      <c r="C44" s="22" t="s">
        <v>129</v>
      </c>
      <c r="D44" s="22" t="s">
        <v>60</v>
      </c>
      <c r="E44" s="22" t="s">
        <v>61</v>
      </c>
      <c r="F44" s="9">
        <f>608</f>
        <v>608</v>
      </c>
      <c r="G44" s="10">
        <f>18</f>
        <v>18</v>
      </c>
      <c r="H44" s="10">
        <f>0.7</f>
        <v>0.7</v>
      </c>
      <c r="I44" s="11">
        <f>82.65</f>
        <v>82.65</v>
      </c>
      <c r="J44" s="11">
        <f>2232.07</f>
        <v>2232.0700000000002</v>
      </c>
      <c r="K44" s="10">
        <f>21.7</f>
        <v>21.7</v>
      </c>
      <c r="L44" s="10">
        <f>0.7</f>
        <v>0.7</v>
      </c>
      <c r="M44" s="21">
        <f>360943473750</f>
        <v>360943473750</v>
      </c>
      <c r="N44" s="21">
        <f>10518433291000</f>
        <v>10518433291000</v>
      </c>
    </row>
    <row r="45" spans="1:14" x14ac:dyDescent="0.15">
      <c r="A45" s="22" t="s">
        <v>53</v>
      </c>
      <c r="B45" s="22" t="s">
        <v>128</v>
      </c>
      <c r="C45" s="22" t="s">
        <v>129</v>
      </c>
      <c r="D45" s="22" t="s">
        <v>62</v>
      </c>
      <c r="E45" s="22" t="s">
        <v>63</v>
      </c>
      <c r="F45" s="9">
        <f>806</f>
        <v>806</v>
      </c>
      <c r="G45" s="10">
        <f>27.3</f>
        <v>27.3</v>
      </c>
      <c r="H45" s="10">
        <f>0.9</f>
        <v>0.9</v>
      </c>
      <c r="I45" s="11">
        <f>44.55</f>
        <v>44.55</v>
      </c>
      <c r="J45" s="11">
        <f>1416.28</f>
        <v>1416.28</v>
      </c>
      <c r="K45" s="10">
        <f>37.3</f>
        <v>37.299999999999997</v>
      </c>
      <c r="L45" s="10">
        <f>1.3</f>
        <v>1.3</v>
      </c>
      <c r="M45" s="21">
        <f>321994870000</f>
        <v>321994870000</v>
      </c>
      <c r="N45" s="21">
        <f>9266396768557</f>
        <v>9266396768557</v>
      </c>
    </row>
    <row r="46" spans="1:14" x14ac:dyDescent="0.15">
      <c r="A46" s="22" t="s">
        <v>53</v>
      </c>
      <c r="B46" s="22" t="s">
        <v>128</v>
      </c>
      <c r="C46" s="22" t="s">
        <v>129</v>
      </c>
      <c r="D46" s="22" t="s">
        <v>64</v>
      </c>
      <c r="E46" s="22" t="s">
        <v>65</v>
      </c>
      <c r="F46" s="9">
        <f>6</f>
        <v>6</v>
      </c>
      <c r="G46" s="10">
        <f>12.3</f>
        <v>12.3</v>
      </c>
      <c r="H46" s="10">
        <f>1.3</f>
        <v>1.3</v>
      </c>
      <c r="I46" s="11">
        <f>138.91</f>
        <v>138.91</v>
      </c>
      <c r="J46" s="11">
        <f>1345.78</f>
        <v>1345.78</v>
      </c>
      <c r="K46" s="10">
        <f>12.3</f>
        <v>12.3</v>
      </c>
      <c r="L46" s="10">
        <f>1</f>
        <v>1</v>
      </c>
      <c r="M46" s="21">
        <f>4379000000</f>
        <v>4379000000</v>
      </c>
      <c r="N46" s="21">
        <f>51817000000</f>
        <v>51817000000</v>
      </c>
    </row>
    <row r="47" spans="1:14" x14ac:dyDescent="0.15">
      <c r="A47" s="22" t="s">
        <v>53</v>
      </c>
      <c r="B47" s="22" t="s">
        <v>128</v>
      </c>
      <c r="C47" s="22" t="s">
        <v>129</v>
      </c>
      <c r="D47" s="22" t="s">
        <v>66</v>
      </c>
      <c r="E47" s="22" t="s">
        <v>67</v>
      </c>
      <c r="F47" s="9">
        <f>1</f>
        <v>1</v>
      </c>
      <c r="G47" s="10" t="str">
        <f>"－"</f>
        <v>－</v>
      </c>
      <c r="H47" s="10">
        <f>0.9</f>
        <v>0.9</v>
      </c>
      <c r="I47" s="11">
        <f>-1.84</f>
        <v>-1.84</v>
      </c>
      <c r="J47" s="11">
        <f>213.81</f>
        <v>213.81</v>
      </c>
      <c r="K47" s="10" t="str">
        <f>"－"</f>
        <v>－</v>
      </c>
      <c r="L47" s="10">
        <f>0.9</f>
        <v>0.9</v>
      </c>
      <c r="M47" s="21">
        <f>-108280000</f>
        <v>-108280000</v>
      </c>
      <c r="N47" s="21">
        <f>12591720000</f>
        <v>12591720000</v>
      </c>
    </row>
    <row r="48" spans="1:14" x14ac:dyDescent="0.15">
      <c r="A48" s="22" t="s">
        <v>53</v>
      </c>
      <c r="B48" s="22" t="s">
        <v>128</v>
      </c>
      <c r="C48" s="22" t="s">
        <v>129</v>
      </c>
      <c r="D48" s="22" t="s">
        <v>68</v>
      </c>
      <c r="E48" s="22" t="s">
        <v>69</v>
      </c>
      <c r="F48" s="9">
        <f>63</f>
        <v>63</v>
      </c>
      <c r="G48" s="10">
        <f>8.9</f>
        <v>8.9</v>
      </c>
      <c r="H48" s="10">
        <f>0.6</f>
        <v>0.6</v>
      </c>
      <c r="I48" s="11">
        <f>177.17</f>
        <v>177.17</v>
      </c>
      <c r="J48" s="11">
        <f>2687.24</f>
        <v>2687.24</v>
      </c>
      <c r="K48" s="10">
        <f>13.5</f>
        <v>13.5</v>
      </c>
      <c r="L48" s="10">
        <f>1</f>
        <v>1</v>
      </c>
      <c r="M48" s="21">
        <f>69306874000</f>
        <v>69306874000</v>
      </c>
      <c r="N48" s="21">
        <f>961276844000</f>
        <v>961276844000</v>
      </c>
    </row>
    <row r="49" spans="1:14" x14ac:dyDescent="0.15">
      <c r="A49" s="22" t="s">
        <v>53</v>
      </c>
      <c r="B49" s="22" t="s">
        <v>128</v>
      </c>
      <c r="C49" s="22" t="s">
        <v>129</v>
      </c>
      <c r="D49" s="22" t="s">
        <v>70</v>
      </c>
      <c r="E49" s="22" t="s">
        <v>71</v>
      </c>
      <c r="F49" s="9">
        <f>50</f>
        <v>50</v>
      </c>
      <c r="G49" s="10">
        <f>20.2</f>
        <v>20.2</v>
      </c>
      <c r="H49" s="10">
        <f>1</f>
        <v>1</v>
      </c>
      <c r="I49" s="11">
        <f>90.52</f>
        <v>90.52</v>
      </c>
      <c r="J49" s="11">
        <f>1825.49</f>
        <v>1825.49</v>
      </c>
      <c r="K49" s="10">
        <f>16.7</f>
        <v>16.7</v>
      </c>
      <c r="L49" s="10">
        <f>1</f>
        <v>1</v>
      </c>
      <c r="M49" s="21">
        <f>47053000000</f>
        <v>47053000000</v>
      </c>
      <c r="N49" s="21">
        <f>765750000000</f>
        <v>765750000000</v>
      </c>
    </row>
    <row r="50" spans="1:14" x14ac:dyDescent="0.15">
      <c r="A50" s="22" t="s">
        <v>53</v>
      </c>
      <c r="B50" s="22" t="s">
        <v>128</v>
      </c>
      <c r="C50" s="22" t="s">
        <v>129</v>
      </c>
      <c r="D50" s="22" t="s">
        <v>72</v>
      </c>
      <c r="E50" s="22" t="s">
        <v>73</v>
      </c>
      <c r="F50" s="9">
        <f>27</f>
        <v>27</v>
      </c>
      <c r="G50" s="10">
        <f>38.6</f>
        <v>38.6</v>
      </c>
      <c r="H50" s="10">
        <f>0.5</f>
        <v>0.5</v>
      </c>
      <c r="I50" s="11">
        <f>23.78</f>
        <v>23.78</v>
      </c>
      <c r="J50" s="11">
        <f>1775.85</f>
        <v>1775.85</v>
      </c>
      <c r="K50" s="10">
        <f>59.8</f>
        <v>59.8</v>
      </c>
      <c r="L50" s="10">
        <f>0.6</f>
        <v>0.6</v>
      </c>
      <c r="M50" s="21">
        <f>3812000000</f>
        <v>3812000000</v>
      </c>
      <c r="N50" s="21">
        <f>358953000000</f>
        <v>358953000000</v>
      </c>
    </row>
    <row r="51" spans="1:14" x14ac:dyDescent="0.15">
      <c r="A51" s="22" t="s">
        <v>53</v>
      </c>
      <c r="B51" s="22" t="s">
        <v>128</v>
      </c>
      <c r="C51" s="22" t="s">
        <v>129</v>
      </c>
      <c r="D51" s="22" t="s">
        <v>74</v>
      </c>
      <c r="E51" s="22" t="s">
        <v>75</v>
      </c>
      <c r="F51" s="9">
        <f>14</f>
        <v>14</v>
      </c>
      <c r="G51" s="10">
        <f>15.4</f>
        <v>15.4</v>
      </c>
      <c r="H51" s="10">
        <f>0.5</f>
        <v>0.5</v>
      </c>
      <c r="I51" s="11">
        <f>66.88</f>
        <v>66.88</v>
      </c>
      <c r="J51" s="11">
        <f>2089.26</f>
        <v>2089.2600000000002</v>
      </c>
      <c r="K51" s="10">
        <f>13.2</f>
        <v>13.2</v>
      </c>
      <c r="L51" s="10">
        <f>0.5</f>
        <v>0.5</v>
      </c>
      <c r="M51" s="21">
        <f>8197000000</f>
        <v>8197000000</v>
      </c>
      <c r="N51" s="21">
        <f>198643000000</f>
        <v>198643000000</v>
      </c>
    </row>
    <row r="52" spans="1:14" x14ac:dyDescent="0.15">
      <c r="A52" s="22" t="s">
        <v>53</v>
      </c>
      <c r="B52" s="22" t="s">
        <v>128</v>
      </c>
      <c r="C52" s="22" t="s">
        <v>129</v>
      </c>
      <c r="D52" s="22" t="s">
        <v>76</v>
      </c>
      <c r="E52" s="22" t="s">
        <v>77</v>
      </c>
      <c r="F52" s="9">
        <f>71</f>
        <v>71</v>
      </c>
      <c r="G52" s="10">
        <f>16</f>
        <v>16</v>
      </c>
      <c r="H52" s="10">
        <f>0.7</f>
        <v>0.7</v>
      </c>
      <c r="I52" s="11">
        <f>124.7</f>
        <v>124.7</v>
      </c>
      <c r="J52" s="11">
        <f>2743.3</f>
        <v>2743.3</v>
      </c>
      <c r="K52" s="10">
        <f>14.3</f>
        <v>14.3</v>
      </c>
      <c r="L52" s="10">
        <f>0.8</f>
        <v>0.8</v>
      </c>
      <c r="M52" s="21">
        <f>68254258750</f>
        <v>68254258750</v>
      </c>
      <c r="N52" s="21">
        <f>1226553314000</f>
        <v>1226553314000</v>
      </c>
    </row>
    <row r="53" spans="1:14" x14ac:dyDescent="0.15">
      <c r="A53" s="22" t="s">
        <v>53</v>
      </c>
      <c r="B53" s="22" t="s">
        <v>128</v>
      </c>
      <c r="C53" s="22" t="s">
        <v>129</v>
      </c>
      <c r="D53" s="22" t="s">
        <v>78</v>
      </c>
      <c r="E53" s="22" t="s">
        <v>79</v>
      </c>
      <c r="F53" s="9">
        <f>7</f>
        <v>7</v>
      </c>
      <c r="G53" s="10">
        <f>13.5</f>
        <v>13.5</v>
      </c>
      <c r="H53" s="10">
        <f>0.8</f>
        <v>0.8</v>
      </c>
      <c r="I53" s="11">
        <f>119.69</f>
        <v>119.69</v>
      </c>
      <c r="J53" s="11">
        <f>2015.75</f>
        <v>2015.75</v>
      </c>
      <c r="K53" s="10">
        <f>26.1</f>
        <v>26.1</v>
      </c>
      <c r="L53" s="10">
        <f>0.6</f>
        <v>0.6</v>
      </c>
      <c r="M53" s="21">
        <f>18428000000</f>
        <v>18428000000</v>
      </c>
      <c r="N53" s="21">
        <f>796531000000</f>
        <v>796531000000</v>
      </c>
    </row>
    <row r="54" spans="1:14" x14ac:dyDescent="0.15">
      <c r="A54" s="22" t="s">
        <v>53</v>
      </c>
      <c r="B54" s="22" t="s">
        <v>128</v>
      </c>
      <c r="C54" s="22" t="s">
        <v>129</v>
      </c>
      <c r="D54" s="22" t="s">
        <v>80</v>
      </c>
      <c r="E54" s="22" t="s">
        <v>81</v>
      </c>
      <c r="F54" s="9">
        <f>4</f>
        <v>4</v>
      </c>
      <c r="G54" s="10">
        <f>16.4</f>
        <v>16.399999999999999</v>
      </c>
      <c r="H54" s="10">
        <f>1</f>
        <v>1</v>
      </c>
      <c r="I54" s="11">
        <f>78.8</f>
        <v>78.8</v>
      </c>
      <c r="J54" s="11">
        <f>1350.96</f>
        <v>1350.96</v>
      </c>
      <c r="K54" s="10">
        <f>16.4</f>
        <v>16.399999999999999</v>
      </c>
      <c r="L54" s="10">
        <f>1</f>
        <v>1</v>
      </c>
      <c r="M54" s="21">
        <f>4931000000</f>
        <v>4931000000</v>
      </c>
      <c r="N54" s="21">
        <f>79067000000</f>
        <v>79067000000</v>
      </c>
    </row>
    <row r="55" spans="1:14" x14ac:dyDescent="0.15">
      <c r="A55" s="22" t="s">
        <v>53</v>
      </c>
      <c r="B55" s="22" t="s">
        <v>128</v>
      </c>
      <c r="C55" s="22" t="s">
        <v>129</v>
      </c>
      <c r="D55" s="22" t="s">
        <v>82</v>
      </c>
      <c r="E55" s="22" t="s">
        <v>83</v>
      </c>
      <c r="F55" s="9">
        <f>8</f>
        <v>8</v>
      </c>
      <c r="G55" s="10">
        <f>10.8</f>
        <v>10.8</v>
      </c>
      <c r="H55" s="10">
        <f>0.5</f>
        <v>0.5</v>
      </c>
      <c r="I55" s="11">
        <f>112.46</f>
        <v>112.46</v>
      </c>
      <c r="J55" s="11">
        <f>2433.87</f>
        <v>2433.87</v>
      </c>
      <c r="K55" s="10">
        <f>9.5</f>
        <v>9.5</v>
      </c>
      <c r="L55" s="10">
        <f>0.4</f>
        <v>0.4</v>
      </c>
      <c r="M55" s="21">
        <f>7384000000</f>
        <v>7384000000</v>
      </c>
      <c r="N55" s="21">
        <f>158285000000</f>
        <v>158285000000</v>
      </c>
    </row>
    <row r="56" spans="1:14" x14ac:dyDescent="0.15">
      <c r="A56" s="22" t="s">
        <v>53</v>
      </c>
      <c r="B56" s="22" t="s">
        <v>128</v>
      </c>
      <c r="C56" s="22" t="s">
        <v>129</v>
      </c>
      <c r="D56" s="22" t="s">
        <v>84</v>
      </c>
      <c r="E56" s="22" t="s">
        <v>85</v>
      </c>
      <c r="F56" s="9">
        <f>31</f>
        <v>31</v>
      </c>
      <c r="G56" s="10">
        <f>20</f>
        <v>20</v>
      </c>
      <c r="H56" s="10">
        <f>0.9</f>
        <v>0.9</v>
      </c>
      <c r="I56" s="11">
        <f>119.62</f>
        <v>119.62</v>
      </c>
      <c r="J56" s="11">
        <f>2587.88</f>
        <v>2587.88</v>
      </c>
      <c r="K56" s="10">
        <f>23</f>
        <v>23</v>
      </c>
      <c r="L56" s="10">
        <f>0.8</f>
        <v>0.8</v>
      </c>
      <c r="M56" s="21">
        <f>17771000000</f>
        <v>17771000000</v>
      </c>
      <c r="N56" s="21">
        <f>500196000000</f>
        <v>500196000000</v>
      </c>
    </row>
    <row r="57" spans="1:14" x14ac:dyDescent="0.15">
      <c r="A57" s="22" t="s">
        <v>53</v>
      </c>
      <c r="B57" s="22" t="s">
        <v>128</v>
      </c>
      <c r="C57" s="22" t="s">
        <v>129</v>
      </c>
      <c r="D57" s="22" t="s">
        <v>86</v>
      </c>
      <c r="E57" s="22" t="s">
        <v>87</v>
      </c>
      <c r="F57" s="9">
        <f>19</f>
        <v>19</v>
      </c>
      <c r="G57" s="10">
        <f>15.4</f>
        <v>15.4</v>
      </c>
      <c r="H57" s="10">
        <f>0.4</f>
        <v>0.4</v>
      </c>
      <c r="I57" s="11">
        <f>74.59</f>
        <v>74.59</v>
      </c>
      <c r="J57" s="11">
        <f>2675.37</f>
        <v>2675.37</v>
      </c>
      <c r="K57" s="10">
        <f>43.5</f>
        <v>43.5</v>
      </c>
      <c r="L57" s="10">
        <f>0.4</f>
        <v>0.4</v>
      </c>
      <c r="M57" s="21">
        <f>4154000000</f>
        <v>4154000000</v>
      </c>
      <c r="N57" s="21">
        <f>447597000000</f>
        <v>447597000000</v>
      </c>
    </row>
    <row r="58" spans="1:14" x14ac:dyDescent="0.15">
      <c r="A58" s="22" t="s">
        <v>53</v>
      </c>
      <c r="B58" s="22" t="s">
        <v>128</v>
      </c>
      <c r="C58" s="22" t="s">
        <v>129</v>
      </c>
      <c r="D58" s="22" t="s">
        <v>88</v>
      </c>
      <c r="E58" s="22" t="s">
        <v>89</v>
      </c>
      <c r="F58" s="9">
        <f>12</f>
        <v>12</v>
      </c>
      <c r="G58" s="10">
        <f>13.9</f>
        <v>13.9</v>
      </c>
      <c r="H58" s="10">
        <f>0.8</f>
        <v>0.8</v>
      </c>
      <c r="I58" s="11">
        <f>102.77</f>
        <v>102.77</v>
      </c>
      <c r="J58" s="11">
        <f>1736.46</f>
        <v>1736.46</v>
      </c>
      <c r="K58" s="10">
        <f>15.2</f>
        <v>15.2</v>
      </c>
      <c r="L58" s="10">
        <f>0.9</f>
        <v>0.9</v>
      </c>
      <c r="M58" s="21">
        <f>5459000000</f>
        <v>5459000000</v>
      </c>
      <c r="N58" s="21">
        <f>94990000000</f>
        <v>94990000000</v>
      </c>
    </row>
    <row r="59" spans="1:14" x14ac:dyDescent="0.15">
      <c r="A59" s="22" t="s">
        <v>53</v>
      </c>
      <c r="B59" s="22" t="s">
        <v>128</v>
      </c>
      <c r="C59" s="22" t="s">
        <v>129</v>
      </c>
      <c r="D59" s="22" t="s">
        <v>90</v>
      </c>
      <c r="E59" s="22" t="s">
        <v>91</v>
      </c>
      <c r="F59" s="9">
        <f>59</f>
        <v>59</v>
      </c>
      <c r="G59" s="10">
        <f>11.4</f>
        <v>11.4</v>
      </c>
      <c r="H59" s="10">
        <f>0.5</f>
        <v>0.5</v>
      </c>
      <c r="I59" s="11">
        <f>144.26</f>
        <v>144.26</v>
      </c>
      <c r="J59" s="11">
        <f>3223.93</f>
        <v>3223.93</v>
      </c>
      <c r="K59" s="10">
        <f>12</f>
        <v>12</v>
      </c>
      <c r="L59" s="10">
        <f>0.6</f>
        <v>0.6</v>
      </c>
      <c r="M59" s="21">
        <f>40359000000</f>
        <v>40359000000</v>
      </c>
      <c r="N59" s="21">
        <f>866887000000</f>
        <v>866887000000</v>
      </c>
    </row>
    <row r="60" spans="1:14" x14ac:dyDescent="0.15">
      <c r="A60" s="22" t="s">
        <v>53</v>
      </c>
      <c r="B60" s="22" t="s">
        <v>128</v>
      </c>
      <c r="C60" s="22" t="s">
        <v>129</v>
      </c>
      <c r="D60" s="22" t="s">
        <v>92</v>
      </c>
      <c r="E60" s="22" t="s">
        <v>93</v>
      </c>
      <c r="F60" s="9">
        <f>99</f>
        <v>99</v>
      </c>
      <c r="G60" s="10">
        <f>26.4</f>
        <v>26.4</v>
      </c>
      <c r="H60" s="10">
        <f>0.7</f>
        <v>0.7</v>
      </c>
      <c r="I60" s="11">
        <f>52.85</f>
        <v>52.85</v>
      </c>
      <c r="J60" s="11">
        <f>2103.66</f>
        <v>2103.66</v>
      </c>
      <c r="K60" s="10">
        <f>105.4</f>
        <v>105.4</v>
      </c>
      <c r="L60" s="10">
        <f>0.8</f>
        <v>0.8</v>
      </c>
      <c r="M60" s="21">
        <f>12701615000</f>
        <v>12701615000</v>
      </c>
      <c r="N60" s="21">
        <f>1578640977000</f>
        <v>1578640977000</v>
      </c>
    </row>
    <row r="61" spans="1:14" x14ac:dyDescent="0.15">
      <c r="A61" s="22" t="s">
        <v>53</v>
      </c>
      <c r="B61" s="22" t="s">
        <v>128</v>
      </c>
      <c r="C61" s="22" t="s">
        <v>129</v>
      </c>
      <c r="D61" s="22" t="s">
        <v>94</v>
      </c>
      <c r="E61" s="22" t="s">
        <v>95</v>
      </c>
      <c r="F61" s="9">
        <f>94</f>
        <v>94</v>
      </c>
      <c r="G61" s="10">
        <f>17</f>
        <v>17</v>
      </c>
      <c r="H61" s="10">
        <f>0.8</f>
        <v>0.8</v>
      </c>
      <c r="I61" s="11">
        <f>81.72</f>
        <v>81.72</v>
      </c>
      <c r="J61" s="11">
        <f>1731.61</f>
        <v>1731.61</v>
      </c>
      <c r="K61" s="10">
        <f>14.4</f>
        <v>14.4</v>
      </c>
      <c r="L61" s="10">
        <f>0.9</f>
        <v>0.9</v>
      </c>
      <c r="M61" s="21">
        <f>89935000000</f>
        <v>89935000000</v>
      </c>
      <c r="N61" s="21">
        <f>1367734000000</f>
        <v>1367734000000</v>
      </c>
    </row>
    <row r="62" spans="1:14" x14ac:dyDescent="0.15">
      <c r="A62" s="22" t="s">
        <v>53</v>
      </c>
      <c r="B62" s="22" t="s">
        <v>128</v>
      </c>
      <c r="C62" s="22" t="s">
        <v>129</v>
      </c>
      <c r="D62" s="22" t="s">
        <v>96</v>
      </c>
      <c r="E62" s="22" t="s">
        <v>97</v>
      </c>
      <c r="F62" s="9">
        <f>37</f>
        <v>37</v>
      </c>
      <c r="G62" s="10">
        <f>39</f>
        <v>39</v>
      </c>
      <c r="H62" s="10">
        <f>0.4</f>
        <v>0.4</v>
      </c>
      <c r="I62" s="11">
        <f>27.27</f>
        <v>27.27</v>
      </c>
      <c r="J62" s="11">
        <f>2699.54</f>
        <v>2699.54</v>
      </c>
      <c r="K62" s="10" t="str">
        <f>"－"</f>
        <v>－</v>
      </c>
      <c r="L62" s="10">
        <f>0.4</f>
        <v>0.4</v>
      </c>
      <c r="M62" s="21">
        <f>-7524000000</f>
        <v>-7524000000</v>
      </c>
      <c r="N62" s="21">
        <f>1175635000000</f>
        <v>1175635000000</v>
      </c>
    </row>
    <row r="63" spans="1:14" x14ac:dyDescent="0.15">
      <c r="A63" s="22" t="s">
        <v>53</v>
      </c>
      <c r="B63" s="22" t="s">
        <v>128</v>
      </c>
      <c r="C63" s="22" t="s">
        <v>129</v>
      </c>
      <c r="D63" s="22" t="s">
        <v>98</v>
      </c>
      <c r="E63" s="22" t="s">
        <v>99</v>
      </c>
      <c r="F63" s="9">
        <f>14</f>
        <v>14</v>
      </c>
      <c r="G63" s="10">
        <f>17</f>
        <v>17</v>
      </c>
      <c r="H63" s="10">
        <f>1.1</f>
        <v>1.1000000000000001</v>
      </c>
      <c r="I63" s="11">
        <f>58.76</f>
        <v>58.76</v>
      </c>
      <c r="J63" s="11">
        <f>889.82</f>
        <v>889.82</v>
      </c>
      <c r="K63" s="10">
        <f>19.6</f>
        <v>19.600000000000001</v>
      </c>
      <c r="L63" s="10">
        <f>1.5</f>
        <v>1.5</v>
      </c>
      <c r="M63" s="21">
        <f>17009000000</f>
        <v>17009000000</v>
      </c>
      <c r="N63" s="21">
        <f>215626000000</f>
        <v>215626000000</v>
      </c>
    </row>
    <row r="64" spans="1:14" x14ac:dyDescent="0.15">
      <c r="A64" s="22" t="s">
        <v>53</v>
      </c>
      <c r="B64" s="22" t="s">
        <v>128</v>
      </c>
      <c r="C64" s="22" t="s">
        <v>129</v>
      </c>
      <c r="D64" s="22" t="s">
        <v>100</v>
      </c>
      <c r="E64" s="22" t="s">
        <v>101</v>
      </c>
      <c r="F64" s="9">
        <f>62</f>
        <v>62</v>
      </c>
      <c r="G64" s="10">
        <f>21</f>
        <v>21</v>
      </c>
      <c r="H64" s="10">
        <f>0.6</f>
        <v>0.6</v>
      </c>
      <c r="I64" s="11">
        <f>58.44</f>
        <v>58.44</v>
      </c>
      <c r="J64" s="11">
        <f>2086.88</f>
        <v>2086.88</v>
      </c>
      <c r="K64" s="10">
        <f>21.9</f>
        <v>21.9</v>
      </c>
      <c r="L64" s="10">
        <f>0.7</f>
        <v>0.7</v>
      </c>
      <c r="M64" s="21">
        <f>23019600000</f>
        <v>23019600000</v>
      </c>
      <c r="N64" s="21">
        <f>687345000000</f>
        <v>687345000000</v>
      </c>
    </row>
    <row r="65" spans="1:14" x14ac:dyDescent="0.15">
      <c r="A65" s="22" t="s">
        <v>53</v>
      </c>
      <c r="B65" s="22" t="s">
        <v>128</v>
      </c>
      <c r="C65" s="22" t="s">
        <v>129</v>
      </c>
      <c r="D65" s="22" t="s">
        <v>102</v>
      </c>
      <c r="E65" s="22" t="s">
        <v>103</v>
      </c>
      <c r="F65" s="9">
        <f>2</f>
        <v>2</v>
      </c>
      <c r="G65" s="10">
        <f>11.2</f>
        <v>11.2</v>
      </c>
      <c r="H65" s="10">
        <f>0.3</f>
        <v>0.3</v>
      </c>
      <c r="I65" s="11">
        <f>246.83</f>
        <v>246.83</v>
      </c>
      <c r="J65" s="11">
        <f>9142.75</f>
        <v>9142.75</v>
      </c>
      <c r="K65" s="10">
        <f>13.2</f>
        <v>13.2</v>
      </c>
      <c r="L65" s="10">
        <f>0.3</f>
        <v>0.3</v>
      </c>
      <c r="M65" s="21">
        <f>3343000000</f>
        <v>3343000000</v>
      </c>
      <c r="N65" s="21">
        <f>135698000000</f>
        <v>135698000000</v>
      </c>
    </row>
    <row r="66" spans="1:14" x14ac:dyDescent="0.15">
      <c r="A66" s="22" t="s">
        <v>53</v>
      </c>
      <c r="B66" s="22" t="s">
        <v>128</v>
      </c>
      <c r="C66" s="22" t="s">
        <v>129</v>
      </c>
      <c r="D66" s="22" t="s">
        <v>104</v>
      </c>
      <c r="E66" s="22" t="s">
        <v>105</v>
      </c>
      <c r="F66" s="9">
        <f>22</f>
        <v>22</v>
      </c>
      <c r="G66" s="10">
        <f>45.7</f>
        <v>45.7</v>
      </c>
      <c r="H66" s="10">
        <f>0.5</f>
        <v>0.5</v>
      </c>
      <c r="I66" s="11">
        <f>35.67</f>
        <v>35.67</v>
      </c>
      <c r="J66" s="11">
        <f>3456.2</f>
        <v>3456.2</v>
      </c>
      <c r="K66" s="10">
        <f>46.9</f>
        <v>46.9</v>
      </c>
      <c r="L66" s="10">
        <f>0.5</f>
        <v>0.5</v>
      </c>
      <c r="M66" s="21">
        <f>4458000000</f>
        <v>4458000000</v>
      </c>
      <c r="N66" s="21">
        <f>394736000000</f>
        <v>394736000000</v>
      </c>
    </row>
    <row r="67" spans="1:14" x14ac:dyDescent="0.15">
      <c r="A67" s="22" t="s">
        <v>53</v>
      </c>
      <c r="B67" s="22" t="s">
        <v>128</v>
      </c>
      <c r="C67" s="22" t="s">
        <v>129</v>
      </c>
      <c r="D67" s="22" t="s">
        <v>106</v>
      </c>
      <c r="E67" s="22" t="s">
        <v>107</v>
      </c>
      <c r="F67" s="9">
        <f>7</f>
        <v>7</v>
      </c>
      <c r="G67" s="10" t="str">
        <f>"－"</f>
        <v>－</v>
      </c>
      <c r="H67" s="10">
        <f>0.6</f>
        <v>0.6</v>
      </c>
      <c r="I67" s="11">
        <f>-7.65</f>
        <v>-7.65</v>
      </c>
      <c r="J67" s="11">
        <f>2831.98</f>
        <v>2831.98</v>
      </c>
      <c r="K67" s="10">
        <f>168.2</f>
        <v>168.2</v>
      </c>
      <c r="L67" s="10">
        <f>0.8</f>
        <v>0.8</v>
      </c>
      <c r="M67" s="21">
        <f>618000000</f>
        <v>618000000</v>
      </c>
      <c r="N67" s="21">
        <f>131396000000</f>
        <v>131396000000</v>
      </c>
    </row>
    <row r="68" spans="1:14" x14ac:dyDescent="0.15">
      <c r="A68" s="22" t="s">
        <v>53</v>
      </c>
      <c r="B68" s="22" t="s">
        <v>128</v>
      </c>
      <c r="C68" s="22" t="s">
        <v>129</v>
      </c>
      <c r="D68" s="22" t="s">
        <v>108</v>
      </c>
      <c r="E68" s="22" t="s">
        <v>109</v>
      </c>
      <c r="F68" s="9">
        <f>3</f>
        <v>3</v>
      </c>
      <c r="G68" s="10" t="str">
        <f>"－"</f>
        <v>－</v>
      </c>
      <c r="H68" s="10">
        <f>2.4</f>
        <v>2.4</v>
      </c>
      <c r="I68" s="11">
        <f>-1008.98</f>
        <v>-1008.98</v>
      </c>
      <c r="J68" s="11">
        <f>624.02</f>
        <v>624.02</v>
      </c>
      <c r="K68" s="10" t="str">
        <f>"－"</f>
        <v>－</v>
      </c>
      <c r="L68" s="10">
        <f>1.1</f>
        <v>1.1000000000000001</v>
      </c>
      <c r="M68" s="21">
        <f>-5080000000</f>
        <v>-5080000000</v>
      </c>
      <c r="N68" s="21">
        <f>37405000000</f>
        <v>37405000000</v>
      </c>
    </row>
    <row r="69" spans="1:14" x14ac:dyDescent="0.15">
      <c r="A69" s="22" t="s">
        <v>53</v>
      </c>
      <c r="B69" s="22" t="s">
        <v>128</v>
      </c>
      <c r="C69" s="22" t="s">
        <v>129</v>
      </c>
      <c r="D69" s="22" t="s">
        <v>139</v>
      </c>
      <c r="E69" s="22" t="s">
        <v>140</v>
      </c>
      <c r="F69" s="9">
        <f>20</f>
        <v>20</v>
      </c>
      <c r="G69" s="10">
        <f>21.1</f>
        <v>21.1</v>
      </c>
      <c r="H69" s="10">
        <f>0.5</f>
        <v>0.5</v>
      </c>
      <c r="I69" s="11">
        <f>50.91</f>
        <v>50.91</v>
      </c>
      <c r="J69" s="11">
        <f>2385.83</f>
        <v>2385.83</v>
      </c>
      <c r="K69" s="10">
        <f>15.8</f>
        <v>15.8</v>
      </c>
      <c r="L69" s="10">
        <f>0.5</f>
        <v>0.5</v>
      </c>
      <c r="M69" s="21">
        <f>9244000000</f>
        <v>9244000000</v>
      </c>
      <c r="N69" s="21">
        <f>281239000000</f>
        <v>281239000000</v>
      </c>
    </row>
    <row r="70" spans="1:14" x14ac:dyDescent="0.15">
      <c r="A70" s="22" t="s">
        <v>53</v>
      </c>
      <c r="B70" s="22" t="s">
        <v>128</v>
      </c>
      <c r="C70" s="22" t="s">
        <v>129</v>
      </c>
      <c r="D70" s="22" t="s">
        <v>110</v>
      </c>
      <c r="E70" s="22" t="s">
        <v>111</v>
      </c>
      <c r="F70" s="9">
        <f>151</f>
        <v>151</v>
      </c>
      <c r="G70" s="10">
        <f>18.8</f>
        <v>18.8</v>
      </c>
      <c r="H70" s="10">
        <f>1.6</f>
        <v>1.6</v>
      </c>
      <c r="I70" s="11">
        <f>61.66</f>
        <v>61.66</v>
      </c>
      <c r="J70" s="11">
        <f>714.19</f>
        <v>714.19</v>
      </c>
      <c r="K70" s="10">
        <f>28.6</f>
        <v>28.6</v>
      </c>
      <c r="L70" s="10">
        <f>2.4</f>
        <v>2.4</v>
      </c>
      <c r="M70" s="21">
        <f>103314000000</f>
        <v>103314000000</v>
      </c>
      <c r="N70" s="21">
        <f>1238167000000</f>
        <v>1238167000000</v>
      </c>
    </row>
    <row r="71" spans="1:14" x14ac:dyDescent="0.15">
      <c r="A71" s="22" t="s">
        <v>53</v>
      </c>
      <c r="B71" s="22" t="s">
        <v>128</v>
      </c>
      <c r="C71" s="22" t="s">
        <v>129</v>
      </c>
      <c r="D71" s="22" t="s">
        <v>112</v>
      </c>
      <c r="E71" s="22" t="s">
        <v>113</v>
      </c>
      <c r="F71" s="9">
        <f>159</f>
        <v>159</v>
      </c>
      <c r="G71" s="10">
        <f>17.4</f>
        <v>17.399999999999999</v>
      </c>
      <c r="H71" s="10">
        <f>0.6</f>
        <v>0.6</v>
      </c>
      <c r="I71" s="11">
        <f>77.94</f>
        <v>77.94</v>
      </c>
      <c r="J71" s="11">
        <f>2109.25</f>
        <v>2109.25</v>
      </c>
      <c r="K71" s="10">
        <f>18.6</f>
        <v>18.600000000000001</v>
      </c>
      <c r="L71" s="10">
        <f>0.8</f>
        <v>0.8</v>
      </c>
      <c r="M71" s="21">
        <f>92762000000</f>
        <v>92762000000</v>
      </c>
      <c r="N71" s="21">
        <f>2242961564267</f>
        <v>2242961564267</v>
      </c>
    </row>
    <row r="72" spans="1:14" x14ac:dyDescent="0.15">
      <c r="A72" s="22" t="s">
        <v>53</v>
      </c>
      <c r="B72" s="22" t="s">
        <v>128</v>
      </c>
      <c r="C72" s="22" t="s">
        <v>129</v>
      </c>
      <c r="D72" s="22" t="s">
        <v>114</v>
      </c>
      <c r="E72" s="22" t="s">
        <v>115</v>
      </c>
      <c r="F72" s="9">
        <f>151</f>
        <v>151</v>
      </c>
      <c r="G72" s="10" t="str">
        <f>"－"</f>
        <v>－</v>
      </c>
      <c r="H72" s="10">
        <f>1.3</f>
        <v>1.3</v>
      </c>
      <c r="I72" s="11">
        <f>-21.1</f>
        <v>-21.1</v>
      </c>
      <c r="J72" s="11">
        <f>882.38</f>
        <v>882.38</v>
      </c>
      <c r="K72" s="10">
        <f>89.7</f>
        <v>89.7</v>
      </c>
      <c r="L72" s="10">
        <f>1.7</f>
        <v>1.7</v>
      </c>
      <c r="M72" s="21">
        <f>36308974000</f>
        <v>36308974000</v>
      </c>
      <c r="N72" s="21">
        <f>1924982365790</f>
        <v>1924982365790</v>
      </c>
    </row>
    <row r="73" spans="1:14" x14ac:dyDescent="0.15">
      <c r="A73" s="22" t="s">
        <v>53</v>
      </c>
      <c r="B73" s="22" t="s">
        <v>128</v>
      </c>
      <c r="C73" s="22" t="s">
        <v>129</v>
      </c>
      <c r="D73" s="22" t="s">
        <v>116</v>
      </c>
      <c r="E73" s="22" t="s">
        <v>117</v>
      </c>
      <c r="F73" s="9">
        <f>12</f>
        <v>12</v>
      </c>
      <c r="G73" s="10">
        <f>14.7</f>
        <v>14.7</v>
      </c>
      <c r="H73" s="10">
        <f>0.3</f>
        <v>0.3</v>
      </c>
      <c r="I73" s="11">
        <f>72.7</f>
        <v>72.7</v>
      </c>
      <c r="J73" s="11">
        <f>4236.46</f>
        <v>4236.46</v>
      </c>
      <c r="K73" s="10">
        <f>14.3</f>
        <v>14.3</v>
      </c>
      <c r="L73" s="10">
        <f>0.5</f>
        <v>0.5</v>
      </c>
      <c r="M73" s="21">
        <f>48783717974</f>
        <v>48783717974</v>
      </c>
      <c r="N73" s="21">
        <f>1427082875000</f>
        <v>1427082875000</v>
      </c>
    </row>
    <row r="74" spans="1:14" x14ac:dyDescent="0.15">
      <c r="A74" s="22" t="s">
        <v>53</v>
      </c>
      <c r="B74" s="22" t="s">
        <v>128</v>
      </c>
      <c r="C74" s="22" t="s">
        <v>129</v>
      </c>
      <c r="D74" s="22" t="s">
        <v>118</v>
      </c>
      <c r="E74" s="22" t="s">
        <v>119</v>
      </c>
      <c r="F74" s="9">
        <f>18</f>
        <v>18</v>
      </c>
      <c r="G74" s="10">
        <f>14</f>
        <v>14</v>
      </c>
      <c r="H74" s="10">
        <f>0.7</f>
        <v>0.7</v>
      </c>
      <c r="I74" s="11">
        <f>44.17</f>
        <v>44.17</v>
      </c>
      <c r="J74" s="11">
        <f>851.58</f>
        <v>851.58</v>
      </c>
      <c r="K74" s="10">
        <f>19.5</f>
        <v>19.5</v>
      </c>
      <c r="L74" s="10">
        <f>1</f>
        <v>1</v>
      </c>
      <c r="M74" s="21">
        <f>13002000000</f>
        <v>13002000000</v>
      </c>
      <c r="N74" s="21">
        <f>255951000000</f>
        <v>255951000000</v>
      </c>
    </row>
    <row r="75" spans="1:14" x14ac:dyDescent="0.15">
      <c r="A75" s="22" t="s">
        <v>53</v>
      </c>
      <c r="B75" s="22" t="s">
        <v>128</v>
      </c>
      <c r="C75" s="22" t="s">
        <v>129</v>
      </c>
      <c r="D75" s="22" t="s">
        <v>120</v>
      </c>
      <c r="E75" s="22" t="s">
        <v>121</v>
      </c>
      <c r="F75" s="9">
        <f>1</f>
        <v>1</v>
      </c>
      <c r="G75" s="10">
        <f>18.6</f>
        <v>18.600000000000001</v>
      </c>
      <c r="H75" s="10">
        <f>2.7</f>
        <v>2.7</v>
      </c>
      <c r="I75" s="11">
        <f>75.68</f>
        <v>75.680000000000007</v>
      </c>
      <c r="J75" s="11">
        <f>513.56</f>
        <v>513.55999999999995</v>
      </c>
      <c r="K75" s="10">
        <f>18.6</f>
        <v>18.600000000000001</v>
      </c>
      <c r="L75" s="10">
        <f>2.7</f>
        <v>2.7</v>
      </c>
      <c r="M75" s="21">
        <f>1369000000</f>
        <v>1369000000</v>
      </c>
      <c r="N75" s="21">
        <f>9290000000</f>
        <v>9290000000</v>
      </c>
    </row>
    <row r="76" spans="1:14" x14ac:dyDescent="0.15">
      <c r="A76" s="22" t="s">
        <v>53</v>
      </c>
      <c r="B76" s="22" t="s">
        <v>128</v>
      </c>
      <c r="C76" s="22" t="s">
        <v>129</v>
      </c>
      <c r="D76" s="22" t="s">
        <v>122</v>
      </c>
      <c r="E76" s="22" t="s">
        <v>123</v>
      </c>
      <c r="F76" s="9">
        <f>9</f>
        <v>9</v>
      </c>
      <c r="G76" s="10">
        <f>14.9</f>
        <v>14.9</v>
      </c>
      <c r="H76" s="10">
        <f>0.8</f>
        <v>0.8</v>
      </c>
      <c r="I76" s="11">
        <f>30.77</f>
        <v>30.77</v>
      </c>
      <c r="J76" s="11">
        <f>552.34</f>
        <v>552.34</v>
      </c>
      <c r="K76" s="10">
        <f>7.5</f>
        <v>7.5</v>
      </c>
      <c r="L76" s="10">
        <f>0.9</f>
        <v>0.9</v>
      </c>
      <c r="M76" s="21">
        <f>84595000000</f>
        <v>84595000000</v>
      </c>
      <c r="N76" s="21">
        <f>714192000000</f>
        <v>714192000000</v>
      </c>
    </row>
    <row r="77" spans="1:14" x14ac:dyDescent="0.15">
      <c r="A77" s="22" t="s">
        <v>53</v>
      </c>
      <c r="B77" s="22" t="s">
        <v>128</v>
      </c>
      <c r="C77" s="22" t="s">
        <v>129</v>
      </c>
      <c r="D77" s="22" t="s">
        <v>124</v>
      </c>
      <c r="E77" s="22" t="s">
        <v>125</v>
      </c>
      <c r="F77" s="9">
        <f>54</f>
        <v>54</v>
      </c>
      <c r="G77" s="10">
        <f>9.2</f>
        <v>9.1999999999999993</v>
      </c>
      <c r="H77" s="10">
        <f>0.8</f>
        <v>0.8</v>
      </c>
      <c r="I77" s="11">
        <f>92.22</f>
        <v>92.22</v>
      </c>
      <c r="J77" s="11">
        <f>1112.91</f>
        <v>1112.9100000000001</v>
      </c>
      <c r="K77" s="10">
        <f>11.2</f>
        <v>11.2</v>
      </c>
      <c r="L77" s="10">
        <f>0.8</f>
        <v>0.8</v>
      </c>
      <c r="M77" s="21">
        <f>56376302000</f>
        <v>56376302000</v>
      </c>
      <c r="N77" s="21">
        <f>764302274500</f>
        <v>764302274500</v>
      </c>
    </row>
    <row r="78" spans="1:14" x14ac:dyDescent="0.15">
      <c r="A78" s="22" t="s">
        <v>53</v>
      </c>
      <c r="B78" s="22" t="s">
        <v>128</v>
      </c>
      <c r="C78" s="22" t="s">
        <v>129</v>
      </c>
      <c r="D78" s="22" t="s">
        <v>126</v>
      </c>
      <c r="E78" s="22" t="s">
        <v>127</v>
      </c>
      <c r="F78" s="9">
        <f>167</f>
        <v>167</v>
      </c>
      <c r="G78" s="10">
        <f>157.6</f>
        <v>157.6</v>
      </c>
      <c r="H78" s="10">
        <f>1.2</f>
        <v>1.2</v>
      </c>
      <c r="I78" s="11">
        <f>7.19</f>
        <v>7.19</v>
      </c>
      <c r="J78" s="11">
        <f>979.97</f>
        <v>979.97</v>
      </c>
      <c r="K78" s="10" t="str">
        <f>"－"</f>
        <v>－</v>
      </c>
      <c r="L78" s="10">
        <f>1.7</f>
        <v>1.7</v>
      </c>
      <c r="M78" s="21">
        <f>-52927000000</f>
        <v>-52927000000</v>
      </c>
      <c r="N78" s="21">
        <f>1089824000000</f>
        <v>1089824000000</v>
      </c>
    </row>
    <row r="79" spans="1:14" x14ac:dyDescent="0.15">
      <c r="A79" s="22" t="s">
        <v>53</v>
      </c>
      <c r="B79" s="22" t="s">
        <v>130</v>
      </c>
      <c r="C79" s="22" t="s">
        <v>131</v>
      </c>
      <c r="D79" s="22" t="s">
        <v>56</v>
      </c>
      <c r="E79" s="22" t="s">
        <v>57</v>
      </c>
      <c r="F79" s="9">
        <f>458</f>
        <v>458</v>
      </c>
      <c r="G79" s="10">
        <f>59</f>
        <v>59</v>
      </c>
      <c r="H79" s="10">
        <f>3.7</f>
        <v>3.7</v>
      </c>
      <c r="I79" s="11">
        <f>21.91</f>
        <v>21.91</v>
      </c>
      <c r="J79" s="11">
        <f>351.9</f>
        <v>351.9</v>
      </c>
      <c r="K79" s="10" t="str">
        <f>"＊"</f>
        <v>＊</v>
      </c>
      <c r="L79" s="10">
        <f>3.9</f>
        <v>3.9</v>
      </c>
      <c r="M79" s="21">
        <f>2816953679</f>
        <v>2816953679</v>
      </c>
      <c r="N79" s="21">
        <f>1630425773866</f>
        <v>1630425773866</v>
      </c>
    </row>
    <row r="80" spans="1:14" x14ac:dyDescent="0.15">
      <c r="A80" s="22" t="s">
        <v>53</v>
      </c>
      <c r="B80" s="22" t="s">
        <v>130</v>
      </c>
      <c r="C80" s="22" t="s">
        <v>131</v>
      </c>
      <c r="D80" s="22" t="s">
        <v>58</v>
      </c>
      <c r="E80" s="22" t="s">
        <v>59</v>
      </c>
      <c r="F80" s="9">
        <f>449</f>
        <v>449</v>
      </c>
      <c r="G80" s="10">
        <f>58.5</f>
        <v>58.5</v>
      </c>
      <c r="H80" s="10">
        <f>3.7</f>
        <v>3.7</v>
      </c>
      <c r="I80" s="11">
        <f>22.19</f>
        <v>22.19</v>
      </c>
      <c r="J80" s="11">
        <f>350</f>
        <v>350</v>
      </c>
      <c r="K80" s="10">
        <f>933.5</f>
        <v>933.5</v>
      </c>
      <c r="L80" s="10">
        <f>4</f>
        <v>4</v>
      </c>
      <c r="M80" s="21">
        <f>6543953679</f>
        <v>6543953679</v>
      </c>
      <c r="N80" s="21">
        <f>1544426773866</f>
        <v>1544426773866</v>
      </c>
    </row>
    <row r="81" spans="1:14" x14ac:dyDescent="0.15">
      <c r="A81" s="22" t="s">
        <v>53</v>
      </c>
      <c r="B81" s="22" t="s">
        <v>130</v>
      </c>
      <c r="C81" s="22" t="s">
        <v>131</v>
      </c>
      <c r="D81" s="22" t="s">
        <v>60</v>
      </c>
      <c r="E81" s="22" t="s">
        <v>61</v>
      </c>
      <c r="F81" s="9">
        <f>63</f>
        <v>63</v>
      </c>
      <c r="G81" s="10" t="str">
        <f>"＊"</f>
        <v>＊</v>
      </c>
      <c r="H81" s="10">
        <f>3.8</f>
        <v>3.8</v>
      </c>
      <c r="I81" s="11">
        <f>0.43</f>
        <v>0.43</v>
      </c>
      <c r="J81" s="11">
        <f>263.46</f>
        <v>263.45999999999998</v>
      </c>
      <c r="K81" s="10" t="str">
        <f>"－"</f>
        <v>－</v>
      </c>
      <c r="L81" s="10">
        <f>2.9</f>
        <v>2.9</v>
      </c>
      <c r="M81" s="21">
        <f>-42498913515</f>
        <v>-42498913515</v>
      </c>
      <c r="N81" s="21">
        <f>410533231894</f>
        <v>410533231894</v>
      </c>
    </row>
    <row r="82" spans="1:14" x14ac:dyDescent="0.15">
      <c r="A82" s="22" t="s">
        <v>53</v>
      </c>
      <c r="B82" s="22" t="s">
        <v>130</v>
      </c>
      <c r="C82" s="22" t="s">
        <v>131</v>
      </c>
      <c r="D82" s="22" t="s">
        <v>62</v>
      </c>
      <c r="E82" s="22" t="s">
        <v>63</v>
      </c>
      <c r="F82" s="9">
        <f>386</f>
        <v>386</v>
      </c>
      <c r="G82" s="10">
        <f>52.4</f>
        <v>52.4</v>
      </c>
      <c r="H82" s="10">
        <f>3.7</f>
        <v>3.7</v>
      </c>
      <c r="I82" s="11">
        <f>25.75</f>
        <v>25.75</v>
      </c>
      <c r="J82" s="11">
        <f>364.13</f>
        <v>364.13</v>
      </c>
      <c r="K82" s="10">
        <f>100</f>
        <v>100</v>
      </c>
      <c r="L82" s="10">
        <f>4.3</f>
        <v>4.3</v>
      </c>
      <c r="M82" s="21">
        <f>49042867194</f>
        <v>49042867194</v>
      </c>
      <c r="N82" s="21">
        <f>1133893541972</f>
        <v>1133893541972</v>
      </c>
    </row>
    <row r="83" spans="1:14" x14ac:dyDescent="0.15">
      <c r="A83" s="22" t="s">
        <v>53</v>
      </c>
      <c r="B83" s="22" t="s">
        <v>130</v>
      </c>
      <c r="C83" s="22" t="s">
        <v>131</v>
      </c>
      <c r="D83" s="22" t="s">
        <v>64</v>
      </c>
      <c r="E83" s="22" t="s">
        <v>65</v>
      </c>
      <c r="F83" s="9" t="str">
        <f t="shared" ref="F83:N84" si="0">"－"</f>
        <v>－</v>
      </c>
      <c r="G83" s="10" t="str">
        <f t="shared" si="0"/>
        <v>－</v>
      </c>
      <c r="H83" s="10" t="str">
        <f t="shared" si="0"/>
        <v>－</v>
      </c>
      <c r="I83" s="11" t="str">
        <f t="shared" si="0"/>
        <v>－</v>
      </c>
      <c r="J83" s="11" t="str">
        <f t="shared" si="0"/>
        <v>－</v>
      </c>
      <c r="K83" s="10" t="str">
        <f t="shared" si="0"/>
        <v>－</v>
      </c>
      <c r="L83" s="10" t="str">
        <f t="shared" si="0"/>
        <v>－</v>
      </c>
      <c r="M83" s="21" t="str">
        <f t="shared" si="0"/>
        <v>－</v>
      </c>
      <c r="N83" s="21" t="str">
        <f t="shared" si="0"/>
        <v>－</v>
      </c>
    </row>
    <row r="84" spans="1:14" x14ac:dyDescent="0.15">
      <c r="A84" s="22" t="s">
        <v>53</v>
      </c>
      <c r="B84" s="22" t="s">
        <v>130</v>
      </c>
      <c r="C84" s="22" t="s">
        <v>131</v>
      </c>
      <c r="D84" s="22" t="s">
        <v>66</v>
      </c>
      <c r="E84" s="22" t="s">
        <v>67</v>
      </c>
      <c r="F84" s="9" t="str">
        <f t="shared" si="0"/>
        <v>－</v>
      </c>
      <c r="G84" s="10" t="str">
        <f t="shared" si="0"/>
        <v>－</v>
      </c>
      <c r="H84" s="10" t="str">
        <f t="shared" si="0"/>
        <v>－</v>
      </c>
      <c r="I84" s="11" t="str">
        <f t="shared" si="0"/>
        <v>－</v>
      </c>
      <c r="J84" s="11" t="str">
        <f t="shared" si="0"/>
        <v>－</v>
      </c>
      <c r="K84" s="10" t="str">
        <f t="shared" si="0"/>
        <v>－</v>
      </c>
      <c r="L84" s="10" t="str">
        <f t="shared" si="0"/>
        <v>－</v>
      </c>
      <c r="M84" s="21" t="str">
        <f t="shared" si="0"/>
        <v>－</v>
      </c>
      <c r="N84" s="21" t="str">
        <f t="shared" si="0"/>
        <v>－</v>
      </c>
    </row>
    <row r="85" spans="1:14" x14ac:dyDescent="0.15">
      <c r="A85" s="22" t="s">
        <v>53</v>
      </c>
      <c r="B85" s="22" t="s">
        <v>130</v>
      </c>
      <c r="C85" s="22" t="s">
        <v>131</v>
      </c>
      <c r="D85" s="22" t="s">
        <v>68</v>
      </c>
      <c r="E85" s="22" t="s">
        <v>69</v>
      </c>
      <c r="F85" s="9">
        <f>7</f>
        <v>7</v>
      </c>
      <c r="G85" s="10">
        <f>14</f>
        <v>14</v>
      </c>
      <c r="H85" s="10">
        <f>1.3</f>
        <v>1.3</v>
      </c>
      <c r="I85" s="11">
        <f>41.11</f>
        <v>41.11</v>
      </c>
      <c r="J85" s="11">
        <f>444.25</f>
        <v>444.25</v>
      </c>
      <c r="K85" s="10">
        <f>26.9</f>
        <v>26.9</v>
      </c>
      <c r="L85" s="10">
        <f>1.9</f>
        <v>1.9</v>
      </c>
      <c r="M85" s="21">
        <f>1786000000</f>
        <v>1786000000</v>
      </c>
      <c r="N85" s="21">
        <f>25139000000</f>
        <v>25139000000</v>
      </c>
    </row>
    <row r="86" spans="1:14" x14ac:dyDescent="0.15">
      <c r="A86" s="22" t="s">
        <v>53</v>
      </c>
      <c r="B86" s="22" t="s">
        <v>130</v>
      </c>
      <c r="C86" s="22" t="s">
        <v>131</v>
      </c>
      <c r="D86" s="22" t="s">
        <v>70</v>
      </c>
      <c r="E86" s="22" t="s">
        <v>71</v>
      </c>
      <c r="F86" s="9">
        <f>2</f>
        <v>2</v>
      </c>
      <c r="G86" s="10">
        <f>34.9</f>
        <v>34.9</v>
      </c>
      <c r="H86" s="10">
        <f>8.8</f>
        <v>8.8000000000000007</v>
      </c>
      <c r="I86" s="11">
        <f>39.22</f>
        <v>39.22</v>
      </c>
      <c r="J86" s="11">
        <f>156.14</f>
        <v>156.13999999999999</v>
      </c>
      <c r="K86" s="10">
        <f>110.2</f>
        <v>110.2</v>
      </c>
      <c r="L86" s="10">
        <f>6.1</f>
        <v>6.1</v>
      </c>
      <c r="M86" s="21">
        <f>137000000</f>
        <v>137000000</v>
      </c>
      <c r="N86" s="21">
        <f>2466000000</f>
        <v>2466000000</v>
      </c>
    </row>
    <row r="87" spans="1:14" x14ac:dyDescent="0.15">
      <c r="A87" s="22" t="s">
        <v>53</v>
      </c>
      <c r="B87" s="22" t="s">
        <v>130</v>
      </c>
      <c r="C87" s="22" t="s">
        <v>131</v>
      </c>
      <c r="D87" s="22" t="s">
        <v>72</v>
      </c>
      <c r="E87" s="22" t="s">
        <v>73</v>
      </c>
      <c r="F87" s="9" t="str">
        <f t="shared" ref="F87:N88" si="1">"－"</f>
        <v>－</v>
      </c>
      <c r="G87" s="10" t="str">
        <f t="shared" si="1"/>
        <v>－</v>
      </c>
      <c r="H87" s="10" t="str">
        <f t="shared" si="1"/>
        <v>－</v>
      </c>
      <c r="I87" s="11" t="str">
        <f t="shared" si="1"/>
        <v>－</v>
      </c>
      <c r="J87" s="11" t="str">
        <f t="shared" si="1"/>
        <v>－</v>
      </c>
      <c r="K87" s="10" t="str">
        <f t="shared" si="1"/>
        <v>－</v>
      </c>
      <c r="L87" s="10" t="str">
        <f t="shared" si="1"/>
        <v>－</v>
      </c>
      <c r="M87" s="21" t="str">
        <f t="shared" si="1"/>
        <v>－</v>
      </c>
      <c r="N87" s="21" t="str">
        <f t="shared" si="1"/>
        <v>－</v>
      </c>
    </row>
    <row r="88" spans="1:14" x14ac:dyDescent="0.15">
      <c r="A88" s="22" t="s">
        <v>53</v>
      </c>
      <c r="B88" s="22" t="s">
        <v>130</v>
      </c>
      <c r="C88" s="22" t="s">
        <v>131</v>
      </c>
      <c r="D88" s="22" t="s">
        <v>74</v>
      </c>
      <c r="E88" s="22" t="s">
        <v>75</v>
      </c>
      <c r="F88" s="9" t="str">
        <f t="shared" si="1"/>
        <v>－</v>
      </c>
      <c r="G88" s="10" t="str">
        <f t="shared" si="1"/>
        <v>－</v>
      </c>
      <c r="H88" s="10" t="str">
        <f t="shared" si="1"/>
        <v>－</v>
      </c>
      <c r="I88" s="11" t="str">
        <f t="shared" si="1"/>
        <v>－</v>
      </c>
      <c r="J88" s="11" t="str">
        <f t="shared" si="1"/>
        <v>－</v>
      </c>
      <c r="K88" s="10" t="str">
        <f t="shared" si="1"/>
        <v>－</v>
      </c>
      <c r="L88" s="10" t="str">
        <f t="shared" si="1"/>
        <v>－</v>
      </c>
      <c r="M88" s="21" t="str">
        <f t="shared" si="1"/>
        <v>－</v>
      </c>
      <c r="N88" s="21" t="str">
        <f t="shared" si="1"/>
        <v>－</v>
      </c>
    </row>
    <row r="89" spans="1:14" x14ac:dyDescent="0.15">
      <c r="A89" s="22" t="s">
        <v>53</v>
      </c>
      <c r="B89" s="22" t="s">
        <v>130</v>
      </c>
      <c r="C89" s="22" t="s">
        <v>131</v>
      </c>
      <c r="D89" s="22" t="s">
        <v>76</v>
      </c>
      <c r="E89" s="22" t="s">
        <v>77</v>
      </c>
      <c r="F89" s="9">
        <f>6</f>
        <v>6</v>
      </c>
      <c r="G89" s="10">
        <f>17.8</f>
        <v>17.8</v>
      </c>
      <c r="H89" s="10">
        <f>3.6</f>
        <v>3.6</v>
      </c>
      <c r="I89" s="11">
        <f>88.41</f>
        <v>88.41</v>
      </c>
      <c r="J89" s="11">
        <f>432.81</f>
        <v>432.81</v>
      </c>
      <c r="K89" s="10">
        <f>25.3</f>
        <v>25.3</v>
      </c>
      <c r="L89" s="10">
        <f>3.6</f>
        <v>3.6</v>
      </c>
      <c r="M89" s="21">
        <f>4240000000</f>
        <v>4240000000</v>
      </c>
      <c r="N89" s="21">
        <f>30021000000</f>
        <v>30021000000</v>
      </c>
    </row>
    <row r="90" spans="1:14" x14ac:dyDescent="0.15">
      <c r="A90" s="22" t="s">
        <v>53</v>
      </c>
      <c r="B90" s="22" t="s">
        <v>130</v>
      </c>
      <c r="C90" s="22" t="s">
        <v>131</v>
      </c>
      <c r="D90" s="22" t="s">
        <v>78</v>
      </c>
      <c r="E90" s="22" t="s">
        <v>79</v>
      </c>
      <c r="F90" s="9">
        <f>30</f>
        <v>30</v>
      </c>
      <c r="G90" s="10" t="str">
        <f>"－"</f>
        <v>－</v>
      </c>
      <c r="H90" s="10">
        <f>3.5</f>
        <v>3.5</v>
      </c>
      <c r="I90" s="11">
        <f>-33.11</f>
        <v>-33.11</v>
      </c>
      <c r="J90" s="11">
        <f>172.44</f>
        <v>172.44</v>
      </c>
      <c r="K90" s="10" t="str">
        <f>"－"</f>
        <v>－</v>
      </c>
      <c r="L90" s="10">
        <f>3</f>
        <v>3</v>
      </c>
      <c r="M90" s="21">
        <f>-41159054000</f>
        <v>-41159054000</v>
      </c>
      <c r="N90" s="21">
        <f>210501533000</f>
        <v>210501533000</v>
      </c>
    </row>
    <row r="91" spans="1:14" x14ac:dyDescent="0.15">
      <c r="A91" s="22" t="s">
        <v>53</v>
      </c>
      <c r="B91" s="22" t="s">
        <v>130</v>
      </c>
      <c r="C91" s="22" t="s">
        <v>131</v>
      </c>
      <c r="D91" s="22" t="s">
        <v>80</v>
      </c>
      <c r="E91" s="22" t="s">
        <v>81</v>
      </c>
      <c r="F91" s="9" t="str">
        <f>"－"</f>
        <v>－</v>
      </c>
      <c r="G91" s="10" t="str">
        <f>"－"</f>
        <v>－</v>
      </c>
      <c r="H91" s="10" t="str">
        <f t="shared" ref="H91:J94" si="2">"－"</f>
        <v>－</v>
      </c>
      <c r="I91" s="11" t="str">
        <f t="shared" si="2"/>
        <v>－</v>
      </c>
      <c r="J91" s="11" t="str">
        <f t="shared" si="2"/>
        <v>－</v>
      </c>
      <c r="K91" s="10" t="str">
        <f>"－"</f>
        <v>－</v>
      </c>
      <c r="L91" s="10" t="str">
        <f t="shared" ref="L91:N94" si="3">"－"</f>
        <v>－</v>
      </c>
      <c r="M91" s="21" t="str">
        <f t="shared" si="3"/>
        <v>－</v>
      </c>
      <c r="N91" s="21" t="str">
        <f t="shared" si="3"/>
        <v>－</v>
      </c>
    </row>
    <row r="92" spans="1:14" x14ac:dyDescent="0.15">
      <c r="A92" s="22" t="s">
        <v>53</v>
      </c>
      <c r="B92" s="22" t="s">
        <v>130</v>
      </c>
      <c r="C92" s="22" t="s">
        <v>131</v>
      </c>
      <c r="D92" s="22" t="s">
        <v>82</v>
      </c>
      <c r="E92" s="22" t="s">
        <v>83</v>
      </c>
      <c r="F92" s="9" t="str">
        <f>"－"</f>
        <v>－</v>
      </c>
      <c r="G92" s="10" t="str">
        <f>"－"</f>
        <v>－</v>
      </c>
      <c r="H92" s="10" t="str">
        <f t="shared" si="2"/>
        <v>－</v>
      </c>
      <c r="I92" s="11" t="str">
        <f t="shared" si="2"/>
        <v>－</v>
      </c>
      <c r="J92" s="11" t="str">
        <f t="shared" si="2"/>
        <v>－</v>
      </c>
      <c r="K92" s="10" t="str">
        <f>"－"</f>
        <v>－</v>
      </c>
      <c r="L92" s="10" t="str">
        <f t="shared" si="3"/>
        <v>－</v>
      </c>
      <c r="M92" s="21" t="str">
        <f t="shared" si="3"/>
        <v>－</v>
      </c>
      <c r="N92" s="21" t="str">
        <f t="shared" si="3"/>
        <v>－</v>
      </c>
    </row>
    <row r="93" spans="1:14" x14ac:dyDescent="0.15">
      <c r="A93" s="22" t="s">
        <v>53</v>
      </c>
      <c r="B93" s="22" t="s">
        <v>130</v>
      </c>
      <c r="C93" s="22" t="s">
        <v>131</v>
      </c>
      <c r="D93" s="22" t="s">
        <v>84</v>
      </c>
      <c r="E93" s="22" t="s">
        <v>85</v>
      </c>
      <c r="F93" s="9" t="str">
        <f>"－"</f>
        <v>－</v>
      </c>
      <c r="G93" s="10" t="str">
        <f>"－"</f>
        <v>－</v>
      </c>
      <c r="H93" s="10" t="str">
        <f t="shared" si="2"/>
        <v>－</v>
      </c>
      <c r="I93" s="11" t="str">
        <f t="shared" si="2"/>
        <v>－</v>
      </c>
      <c r="J93" s="11" t="str">
        <f t="shared" si="2"/>
        <v>－</v>
      </c>
      <c r="K93" s="10" t="str">
        <f>"－"</f>
        <v>－</v>
      </c>
      <c r="L93" s="10" t="str">
        <f t="shared" si="3"/>
        <v>－</v>
      </c>
      <c r="M93" s="21" t="str">
        <f t="shared" si="3"/>
        <v>－</v>
      </c>
      <c r="N93" s="21" t="str">
        <f t="shared" si="3"/>
        <v>－</v>
      </c>
    </row>
    <row r="94" spans="1:14" x14ac:dyDescent="0.15">
      <c r="A94" s="22" t="s">
        <v>53</v>
      </c>
      <c r="B94" s="22" t="s">
        <v>130</v>
      </c>
      <c r="C94" s="22" t="s">
        <v>131</v>
      </c>
      <c r="D94" s="22" t="s">
        <v>86</v>
      </c>
      <c r="E94" s="22" t="s">
        <v>87</v>
      </c>
      <c r="F94" s="9" t="str">
        <f>"－"</f>
        <v>－</v>
      </c>
      <c r="G94" s="10" t="str">
        <f>"－"</f>
        <v>－</v>
      </c>
      <c r="H94" s="10" t="str">
        <f t="shared" si="2"/>
        <v>－</v>
      </c>
      <c r="I94" s="11" t="str">
        <f t="shared" si="2"/>
        <v>－</v>
      </c>
      <c r="J94" s="11" t="str">
        <f t="shared" si="2"/>
        <v>－</v>
      </c>
      <c r="K94" s="10" t="str">
        <f>"－"</f>
        <v>－</v>
      </c>
      <c r="L94" s="10" t="str">
        <f t="shared" si="3"/>
        <v>－</v>
      </c>
      <c r="M94" s="21" t="str">
        <f t="shared" si="3"/>
        <v>－</v>
      </c>
      <c r="N94" s="21" t="str">
        <f t="shared" si="3"/>
        <v>－</v>
      </c>
    </row>
    <row r="95" spans="1:14" x14ac:dyDescent="0.15">
      <c r="A95" s="22" t="s">
        <v>53</v>
      </c>
      <c r="B95" s="22" t="s">
        <v>130</v>
      </c>
      <c r="C95" s="22" t="s">
        <v>131</v>
      </c>
      <c r="D95" s="22" t="s">
        <v>88</v>
      </c>
      <c r="E95" s="22" t="s">
        <v>89</v>
      </c>
      <c r="F95" s="9">
        <f>2</f>
        <v>2</v>
      </c>
      <c r="G95" s="10">
        <f>92.3</f>
        <v>92.3</v>
      </c>
      <c r="H95" s="10">
        <f>4</f>
        <v>4</v>
      </c>
      <c r="I95" s="11">
        <f>24.08</f>
        <v>24.08</v>
      </c>
      <c r="J95" s="11">
        <f>548.99</f>
        <v>548.99</v>
      </c>
      <c r="K95" s="10">
        <f>99.5</f>
        <v>99.5</v>
      </c>
      <c r="L95" s="10">
        <f>4.3</f>
        <v>4.3</v>
      </c>
      <c r="M95" s="21">
        <f>307000000</f>
        <v>307000000</v>
      </c>
      <c r="N95" s="21">
        <f>7146000000</f>
        <v>7146000000</v>
      </c>
    </row>
    <row r="96" spans="1:14" x14ac:dyDescent="0.15">
      <c r="A96" s="22" t="s">
        <v>53</v>
      </c>
      <c r="B96" s="22" t="s">
        <v>130</v>
      </c>
      <c r="C96" s="22" t="s">
        <v>131</v>
      </c>
      <c r="D96" s="22" t="s">
        <v>90</v>
      </c>
      <c r="E96" s="22" t="s">
        <v>91</v>
      </c>
      <c r="F96" s="9" t="str">
        <f t="shared" ref="F96:N96" si="4">"－"</f>
        <v>－</v>
      </c>
      <c r="G96" s="10" t="str">
        <f t="shared" si="4"/>
        <v>－</v>
      </c>
      <c r="H96" s="10" t="str">
        <f t="shared" si="4"/>
        <v>－</v>
      </c>
      <c r="I96" s="11" t="str">
        <f t="shared" si="4"/>
        <v>－</v>
      </c>
      <c r="J96" s="11" t="str">
        <f t="shared" si="4"/>
        <v>－</v>
      </c>
      <c r="K96" s="10" t="str">
        <f t="shared" si="4"/>
        <v>－</v>
      </c>
      <c r="L96" s="10" t="str">
        <f t="shared" si="4"/>
        <v>－</v>
      </c>
      <c r="M96" s="21" t="str">
        <f t="shared" si="4"/>
        <v>－</v>
      </c>
      <c r="N96" s="21" t="str">
        <f t="shared" si="4"/>
        <v>－</v>
      </c>
    </row>
    <row r="97" spans="1:14" x14ac:dyDescent="0.15">
      <c r="A97" s="22" t="s">
        <v>53</v>
      </c>
      <c r="B97" s="22" t="s">
        <v>130</v>
      </c>
      <c r="C97" s="22" t="s">
        <v>131</v>
      </c>
      <c r="D97" s="22" t="s">
        <v>92</v>
      </c>
      <c r="E97" s="22" t="s">
        <v>93</v>
      </c>
      <c r="F97" s="9">
        <f>3</f>
        <v>3</v>
      </c>
      <c r="G97" s="10" t="str">
        <f>"－"</f>
        <v>－</v>
      </c>
      <c r="H97" s="10">
        <f>3.9</f>
        <v>3.9</v>
      </c>
      <c r="I97" s="11">
        <f>-37.77</f>
        <v>-37.770000000000003</v>
      </c>
      <c r="J97" s="11">
        <f>273.81</f>
        <v>273.81</v>
      </c>
      <c r="K97" s="10" t="str">
        <f>"－"</f>
        <v>－</v>
      </c>
      <c r="L97" s="10">
        <f>3.2</f>
        <v>3.2</v>
      </c>
      <c r="M97" s="21">
        <f>-1215333333</f>
        <v>-1215333333</v>
      </c>
      <c r="N97" s="21">
        <f>13317000000</f>
        <v>13317000000</v>
      </c>
    </row>
    <row r="98" spans="1:14" x14ac:dyDescent="0.15">
      <c r="A98" s="22" t="s">
        <v>53</v>
      </c>
      <c r="B98" s="22" t="s">
        <v>130</v>
      </c>
      <c r="C98" s="22" t="s">
        <v>131</v>
      </c>
      <c r="D98" s="22" t="s">
        <v>94</v>
      </c>
      <c r="E98" s="22" t="s">
        <v>95</v>
      </c>
      <c r="F98" s="9">
        <f>7</f>
        <v>7</v>
      </c>
      <c r="G98" s="10">
        <f>81</f>
        <v>81</v>
      </c>
      <c r="H98" s="10">
        <f>7</f>
        <v>7</v>
      </c>
      <c r="I98" s="11">
        <f>24.95</f>
        <v>24.95</v>
      </c>
      <c r="J98" s="11">
        <f>287.44</f>
        <v>287.44</v>
      </c>
      <c r="K98" s="10">
        <f>132.6</f>
        <v>132.6</v>
      </c>
      <c r="L98" s="10">
        <f>6.1</f>
        <v>6.1</v>
      </c>
      <c r="M98" s="21">
        <f>773000000</f>
        <v>773000000</v>
      </c>
      <c r="N98" s="21">
        <f>16740000000</f>
        <v>16740000000</v>
      </c>
    </row>
    <row r="99" spans="1:14" x14ac:dyDescent="0.15">
      <c r="A99" s="22" t="s">
        <v>53</v>
      </c>
      <c r="B99" s="22" t="s">
        <v>130</v>
      </c>
      <c r="C99" s="22" t="s">
        <v>131</v>
      </c>
      <c r="D99" s="22" t="s">
        <v>96</v>
      </c>
      <c r="E99" s="22" t="s">
        <v>97</v>
      </c>
      <c r="F99" s="9">
        <f>2</f>
        <v>2</v>
      </c>
      <c r="G99" s="10">
        <f>10.1</f>
        <v>10.1</v>
      </c>
      <c r="H99" s="10">
        <f>1.7</f>
        <v>1.7</v>
      </c>
      <c r="I99" s="11">
        <f>97.48</f>
        <v>97.48</v>
      </c>
      <c r="J99" s="11">
        <f>596.82</f>
        <v>596.82000000000005</v>
      </c>
      <c r="K99" s="10">
        <f>10.2</f>
        <v>10.199999999999999</v>
      </c>
      <c r="L99" s="10">
        <f>1.7</f>
        <v>1.7</v>
      </c>
      <c r="M99" s="21">
        <f>965000000</f>
        <v>965000000</v>
      </c>
      <c r="N99" s="21">
        <f>5816000000</f>
        <v>5816000000</v>
      </c>
    </row>
    <row r="100" spans="1:14" x14ac:dyDescent="0.15">
      <c r="A100" s="22" t="s">
        <v>53</v>
      </c>
      <c r="B100" s="22" t="s">
        <v>130</v>
      </c>
      <c r="C100" s="22" t="s">
        <v>131</v>
      </c>
      <c r="D100" s="22" t="s">
        <v>98</v>
      </c>
      <c r="E100" s="22" t="s">
        <v>99</v>
      </c>
      <c r="F100" s="9">
        <f>5</f>
        <v>5</v>
      </c>
      <c r="G100" s="10" t="str">
        <f>"－"</f>
        <v>－</v>
      </c>
      <c r="H100" s="10">
        <f>2.5</f>
        <v>2.5</v>
      </c>
      <c r="I100" s="11">
        <f>-13.85</f>
        <v>-13.85</v>
      </c>
      <c r="J100" s="11">
        <f>140.72</f>
        <v>140.72</v>
      </c>
      <c r="K100" s="10" t="str">
        <f>"－"</f>
        <v>－</v>
      </c>
      <c r="L100" s="10">
        <f>2.1</f>
        <v>2.1</v>
      </c>
      <c r="M100" s="21">
        <f>-2656000000</f>
        <v>-2656000000</v>
      </c>
      <c r="N100" s="21">
        <f>60214000000</f>
        <v>60214000000</v>
      </c>
    </row>
    <row r="101" spans="1:14" x14ac:dyDescent="0.15">
      <c r="A101" s="22" t="s">
        <v>53</v>
      </c>
      <c r="B101" s="22" t="s">
        <v>130</v>
      </c>
      <c r="C101" s="22" t="s">
        <v>131</v>
      </c>
      <c r="D101" s="22" t="s">
        <v>100</v>
      </c>
      <c r="E101" s="22" t="s">
        <v>101</v>
      </c>
      <c r="F101" s="9">
        <f>6</f>
        <v>6</v>
      </c>
      <c r="G101" s="10">
        <f>37.5</f>
        <v>37.5</v>
      </c>
      <c r="H101" s="10">
        <f>2.5</f>
        <v>2.5</v>
      </c>
      <c r="I101" s="11">
        <f>29.37</f>
        <v>29.37</v>
      </c>
      <c r="J101" s="11">
        <f>447.83</f>
        <v>447.83</v>
      </c>
      <c r="K101" s="10" t="str">
        <f>"－"</f>
        <v>－</v>
      </c>
      <c r="L101" s="10">
        <f>2</f>
        <v>2</v>
      </c>
      <c r="M101" s="21">
        <f>-3890526182</f>
        <v>-3890526182</v>
      </c>
      <c r="N101" s="21">
        <f>64311698894</f>
        <v>64311698894</v>
      </c>
    </row>
    <row r="102" spans="1:14" x14ac:dyDescent="0.15">
      <c r="A102" s="22" t="s">
        <v>53</v>
      </c>
      <c r="B102" s="22" t="s">
        <v>130</v>
      </c>
      <c r="C102" s="22" t="s">
        <v>131</v>
      </c>
      <c r="D102" s="22" t="s">
        <v>102</v>
      </c>
      <c r="E102" s="22" t="s">
        <v>103</v>
      </c>
      <c r="F102" s="9">
        <f>1</f>
        <v>1</v>
      </c>
      <c r="G102" s="10">
        <f>72.9</f>
        <v>72.900000000000006</v>
      </c>
      <c r="H102" s="10">
        <f>2.7</f>
        <v>2.7</v>
      </c>
      <c r="I102" s="11">
        <f>18.33</f>
        <v>18.329999999999998</v>
      </c>
      <c r="J102" s="11">
        <f>488.52</f>
        <v>488.52</v>
      </c>
      <c r="K102" s="10">
        <f>72.9</f>
        <v>72.900000000000006</v>
      </c>
      <c r="L102" s="10">
        <f>2.7</f>
        <v>2.7</v>
      </c>
      <c r="M102" s="21">
        <f>529000000</f>
        <v>529000000</v>
      </c>
      <c r="N102" s="21">
        <f>14097000000</f>
        <v>14097000000</v>
      </c>
    </row>
    <row r="103" spans="1:14" x14ac:dyDescent="0.15">
      <c r="A103" s="22" t="s">
        <v>53</v>
      </c>
      <c r="B103" s="22" t="s">
        <v>130</v>
      </c>
      <c r="C103" s="22" t="s">
        <v>131</v>
      </c>
      <c r="D103" s="22" t="s">
        <v>104</v>
      </c>
      <c r="E103" s="22" t="s">
        <v>105</v>
      </c>
      <c r="F103" s="9" t="str">
        <f t="shared" ref="F103:N105" si="5">"－"</f>
        <v>－</v>
      </c>
      <c r="G103" s="10" t="str">
        <f t="shared" si="5"/>
        <v>－</v>
      </c>
      <c r="H103" s="10" t="str">
        <f t="shared" si="5"/>
        <v>－</v>
      </c>
      <c r="I103" s="11" t="str">
        <f t="shared" si="5"/>
        <v>－</v>
      </c>
      <c r="J103" s="11" t="str">
        <f t="shared" si="5"/>
        <v>－</v>
      </c>
      <c r="K103" s="10" t="str">
        <f t="shared" si="5"/>
        <v>－</v>
      </c>
      <c r="L103" s="10" t="str">
        <f t="shared" si="5"/>
        <v>－</v>
      </c>
      <c r="M103" s="21" t="str">
        <f t="shared" si="5"/>
        <v>－</v>
      </c>
      <c r="N103" s="21" t="str">
        <f t="shared" si="5"/>
        <v>－</v>
      </c>
    </row>
    <row r="104" spans="1:14" x14ac:dyDescent="0.15">
      <c r="A104" s="22" t="s">
        <v>53</v>
      </c>
      <c r="B104" s="22" t="s">
        <v>130</v>
      </c>
      <c r="C104" s="22" t="s">
        <v>131</v>
      </c>
      <c r="D104" s="22" t="s">
        <v>106</v>
      </c>
      <c r="E104" s="22" t="s">
        <v>107</v>
      </c>
      <c r="F104" s="9" t="str">
        <f t="shared" si="5"/>
        <v>－</v>
      </c>
      <c r="G104" s="10" t="str">
        <f t="shared" si="5"/>
        <v>－</v>
      </c>
      <c r="H104" s="10" t="str">
        <f t="shared" si="5"/>
        <v>－</v>
      </c>
      <c r="I104" s="11" t="str">
        <f t="shared" si="5"/>
        <v>－</v>
      </c>
      <c r="J104" s="11" t="str">
        <f t="shared" si="5"/>
        <v>－</v>
      </c>
      <c r="K104" s="10" t="str">
        <f t="shared" si="5"/>
        <v>－</v>
      </c>
      <c r="L104" s="10" t="str">
        <f t="shared" si="5"/>
        <v>－</v>
      </c>
      <c r="M104" s="21" t="str">
        <f t="shared" si="5"/>
        <v>－</v>
      </c>
      <c r="N104" s="21" t="str">
        <f t="shared" si="5"/>
        <v>－</v>
      </c>
    </row>
    <row r="105" spans="1:14" x14ac:dyDescent="0.15">
      <c r="A105" s="22" t="s">
        <v>53</v>
      </c>
      <c r="B105" s="22" t="s">
        <v>130</v>
      </c>
      <c r="C105" s="22" t="s">
        <v>131</v>
      </c>
      <c r="D105" s="22" t="s">
        <v>108</v>
      </c>
      <c r="E105" s="22" t="s">
        <v>109</v>
      </c>
      <c r="F105" s="9" t="str">
        <f t="shared" si="5"/>
        <v>－</v>
      </c>
      <c r="G105" s="10" t="str">
        <f t="shared" si="5"/>
        <v>－</v>
      </c>
      <c r="H105" s="10" t="str">
        <f t="shared" si="5"/>
        <v>－</v>
      </c>
      <c r="I105" s="11" t="str">
        <f t="shared" si="5"/>
        <v>－</v>
      </c>
      <c r="J105" s="11" t="str">
        <f t="shared" si="5"/>
        <v>－</v>
      </c>
      <c r="K105" s="10" t="str">
        <f t="shared" si="5"/>
        <v>－</v>
      </c>
      <c r="L105" s="10" t="str">
        <f t="shared" si="5"/>
        <v>－</v>
      </c>
      <c r="M105" s="21" t="str">
        <f t="shared" si="5"/>
        <v>－</v>
      </c>
      <c r="N105" s="21" t="str">
        <f t="shared" si="5"/>
        <v>－</v>
      </c>
    </row>
    <row r="106" spans="1:14" x14ac:dyDescent="0.15">
      <c r="A106" s="22" t="s">
        <v>53</v>
      </c>
      <c r="B106" s="22" t="s">
        <v>130</v>
      </c>
      <c r="C106" s="22" t="s">
        <v>131</v>
      </c>
      <c r="D106" s="22" t="s">
        <v>139</v>
      </c>
      <c r="E106" s="22" t="s">
        <v>140</v>
      </c>
      <c r="F106" s="9">
        <f>1</f>
        <v>1</v>
      </c>
      <c r="G106" s="10">
        <f>27.9</f>
        <v>27.9</v>
      </c>
      <c r="H106" s="10">
        <f>5</f>
        <v>5</v>
      </c>
      <c r="I106" s="11">
        <f>27.58</f>
        <v>27.58</v>
      </c>
      <c r="J106" s="11">
        <f>155.42</f>
        <v>155.41999999999999</v>
      </c>
      <c r="K106" s="10">
        <f>27.9</f>
        <v>27.9</v>
      </c>
      <c r="L106" s="10">
        <f>5</f>
        <v>5</v>
      </c>
      <c r="M106" s="21">
        <f>283000000</f>
        <v>283000000</v>
      </c>
      <c r="N106" s="21">
        <f>1595000000</f>
        <v>1595000000</v>
      </c>
    </row>
    <row r="107" spans="1:14" x14ac:dyDescent="0.15">
      <c r="A107" s="22" t="s">
        <v>53</v>
      </c>
      <c r="B107" s="22" t="s">
        <v>130</v>
      </c>
      <c r="C107" s="22" t="s">
        <v>131</v>
      </c>
      <c r="D107" s="22" t="s">
        <v>110</v>
      </c>
      <c r="E107" s="22" t="s">
        <v>111</v>
      </c>
      <c r="F107" s="9">
        <f>184</f>
        <v>184</v>
      </c>
      <c r="G107" s="10">
        <f>60</f>
        <v>60</v>
      </c>
      <c r="H107" s="10">
        <f>4.3</f>
        <v>4.3</v>
      </c>
      <c r="I107" s="11">
        <f>23.64</f>
        <v>23.64</v>
      </c>
      <c r="J107" s="11">
        <f>327.43</f>
        <v>327.43</v>
      </c>
      <c r="K107" s="10">
        <f>117</f>
        <v>117</v>
      </c>
      <c r="L107" s="10">
        <f>5.3</f>
        <v>5.3</v>
      </c>
      <c r="M107" s="21">
        <f>26696026250</f>
        <v>26696026250</v>
      </c>
      <c r="N107" s="21">
        <f>591592764972</f>
        <v>591592764972</v>
      </c>
    </row>
    <row r="108" spans="1:14" x14ac:dyDescent="0.15">
      <c r="A108" s="22" t="s">
        <v>53</v>
      </c>
      <c r="B108" s="22" t="s">
        <v>130</v>
      </c>
      <c r="C108" s="22" t="s">
        <v>131</v>
      </c>
      <c r="D108" s="22" t="s">
        <v>112</v>
      </c>
      <c r="E108" s="22" t="s">
        <v>113</v>
      </c>
      <c r="F108" s="9">
        <f>8</f>
        <v>8</v>
      </c>
      <c r="G108" s="10">
        <f>36.1</f>
        <v>36.1</v>
      </c>
      <c r="H108" s="10">
        <f>3</f>
        <v>3</v>
      </c>
      <c r="I108" s="11">
        <f>29.97</f>
        <v>29.97</v>
      </c>
      <c r="J108" s="11">
        <f>364.38</f>
        <v>364.38</v>
      </c>
      <c r="K108" s="10">
        <f>46.1</f>
        <v>46.1</v>
      </c>
      <c r="L108" s="10">
        <f>4.1</f>
        <v>4.0999999999999996</v>
      </c>
      <c r="M108" s="21">
        <f>2191000000</f>
        <v>2191000000</v>
      </c>
      <c r="N108" s="21">
        <f>24657000000</f>
        <v>24657000000</v>
      </c>
    </row>
    <row r="109" spans="1:14" x14ac:dyDescent="0.15">
      <c r="A109" s="22" t="s">
        <v>53</v>
      </c>
      <c r="B109" s="22" t="s">
        <v>130</v>
      </c>
      <c r="C109" s="22" t="s">
        <v>131</v>
      </c>
      <c r="D109" s="22" t="s">
        <v>114</v>
      </c>
      <c r="E109" s="22" t="s">
        <v>115</v>
      </c>
      <c r="F109" s="9">
        <f>25</f>
        <v>25</v>
      </c>
      <c r="G109" s="10">
        <f>110.6</f>
        <v>110.6</v>
      </c>
      <c r="H109" s="10">
        <f>3.7</f>
        <v>3.7</v>
      </c>
      <c r="I109" s="11">
        <f>11.17</f>
        <v>11.17</v>
      </c>
      <c r="J109" s="11">
        <f>338.38</f>
        <v>338.38</v>
      </c>
      <c r="K109" s="10" t="str">
        <f>"－"</f>
        <v>－</v>
      </c>
      <c r="L109" s="10">
        <f>3.3</f>
        <v>3.3</v>
      </c>
      <c r="M109" s="21">
        <f>-747267286</f>
        <v>-747267286</v>
      </c>
      <c r="N109" s="21">
        <f>44234290000</f>
        <v>44234290000</v>
      </c>
    </row>
    <row r="110" spans="1:14" x14ac:dyDescent="0.15">
      <c r="A110" s="22" t="s">
        <v>53</v>
      </c>
      <c r="B110" s="22" t="s">
        <v>130</v>
      </c>
      <c r="C110" s="22" t="s">
        <v>131</v>
      </c>
      <c r="D110" s="22" t="s">
        <v>116</v>
      </c>
      <c r="E110" s="22" t="s">
        <v>117</v>
      </c>
      <c r="F110" s="9" t="str">
        <f>"－"</f>
        <v>－</v>
      </c>
      <c r="G110" s="10" t="str">
        <f>"－"</f>
        <v>－</v>
      </c>
      <c r="H110" s="10" t="str">
        <f>"－"</f>
        <v>－</v>
      </c>
      <c r="I110" s="11" t="str">
        <f>"－"</f>
        <v>－</v>
      </c>
      <c r="J110" s="11" t="str">
        <f>"－"</f>
        <v>－</v>
      </c>
      <c r="K110" s="10" t="str">
        <f>"－"</f>
        <v>－</v>
      </c>
      <c r="L110" s="10" t="str">
        <f>"－"</f>
        <v>－</v>
      </c>
      <c r="M110" s="21" t="str">
        <f>"－"</f>
        <v>－</v>
      </c>
      <c r="N110" s="21" t="str">
        <f>"－"</f>
        <v>－</v>
      </c>
    </row>
    <row r="111" spans="1:14" x14ac:dyDescent="0.15">
      <c r="A111" s="22" t="s">
        <v>53</v>
      </c>
      <c r="B111" s="22" t="s">
        <v>130</v>
      </c>
      <c r="C111" s="22" t="s">
        <v>131</v>
      </c>
      <c r="D111" s="22" t="s">
        <v>118</v>
      </c>
      <c r="E111" s="22" t="s">
        <v>119</v>
      </c>
      <c r="F111" s="9">
        <f>1</f>
        <v>1</v>
      </c>
      <c r="G111" s="10" t="str">
        <f>"－"</f>
        <v>－</v>
      </c>
      <c r="H111" s="10">
        <f>8.1</f>
        <v>8.1</v>
      </c>
      <c r="I111" s="11">
        <f>-10.46</f>
        <v>-10.46</v>
      </c>
      <c r="J111" s="11">
        <f>212.17</f>
        <v>212.17</v>
      </c>
      <c r="K111" s="10" t="str">
        <f>"－"</f>
        <v>－</v>
      </c>
      <c r="L111" s="10">
        <f>8.1</f>
        <v>8.1</v>
      </c>
      <c r="M111" s="21">
        <f>-495000000</f>
        <v>-495000000</v>
      </c>
      <c r="N111" s="21">
        <f>10037000000</f>
        <v>10037000000</v>
      </c>
    </row>
    <row r="112" spans="1:14" x14ac:dyDescent="0.15">
      <c r="A112" s="22" t="s">
        <v>53</v>
      </c>
      <c r="B112" s="22" t="s">
        <v>130</v>
      </c>
      <c r="C112" s="22" t="s">
        <v>131</v>
      </c>
      <c r="D112" s="22" t="s">
        <v>120</v>
      </c>
      <c r="E112" s="22" t="s">
        <v>121</v>
      </c>
      <c r="F112" s="9">
        <f>5</f>
        <v>5</v>
      </c>
      <c r="G112" s="10" t="str">
        <f>"－"</f>
        <v>－</v>
      </c>
      <c r="H112" s="10">
        <f>1.6</f>
        <v>1.6</v>
      </c>
      <c r="I112" s="11">
        <f>-0.29</f>
        <v>-0.28999999999999998</v>
      </c>
      <c r="J112" s="11">
        <f>675.2</f>
        <v>675.2</v>
      </c>
      <c r="K112" s="10" t="str">
        <f>"－"</f>
        <v>－</v>
      </c>
      <c r="L112" s="10">
        <f>1.4</f>
        <v>1.4</v>
      </c>
      <c r="M112" s="21">
        <f>-2563000000</f>
        <v>-2563000000</v>
      </c>
      <c r="N112" s="21">
        <f>70929000000</f>
        <v>70929000000</v>
      </c>
    </row>
    <row r="113" spans="1:14" x14ac:dyDescent="0.15">
      <c r="A113" s="22" t="s">
        <v>53</v>
      </c>
      <c r="B113" s="22" t="s">
        <v>130</v>
      </c>
      <c r="C113" s="22" t="s">
        <v>131</v>
      </c>
      <c r="D113" s="22" t="s">
        <v>122</v>
      </c>
      <c r="E113" s="22" t="s">
        <v>123</v>
      </c>
      <c r="F113" s="9">
        <f>3</f>
        <v>3</v>
      </c>
      <c r="G113" s="10">
        <f>29.4</f>
        <v>29.4</v>
      </c>
      <c r="H113" s="10">
        <f>5.7</f>
        <v>5.7</v>
      </c>
      <c r="I113" s="11">
        <f>27.69</f>
        <v>27.69</v>
      </c>
      <c r="J113" s="11">
        <f>143.03</f>
        <v>143.03</v>
      </c>
      <c r="K113" s="10" t="str">
        <f>"－"</f>
        <v>－</v>
      </c>
      <c r="L113" s="10">
        <f>2.7</f>
        <v>2.7</v>
      </c>
      <c r="M113" s="21">
        <f>-669000000</f>
        <v>-669000000</v>
      </c>
      <c r="N113" s="21">
        <f>5033000000</f>
        <v>5033000000</v>
      </c>
    </row>
    <row r="114" spans="1:14" x14ac:dyDescent="0.15">
      <c r="A114" s="22" t="s">
        <v>53</v>
      </c>
      <c r="B114" s="22" t="s">
        <v>130</v>
      </c>
      <c r="C114" s="22" t="s">
        <v>131</v>
      </c>
      <c r="D114" s="22" t="s">
        <v>124</v>
      </c>
      <c r="E114" s="22" t="s">
        <v>125</v>
      </c>
      <c r="F114" s="9">
        <f>18</f>
        <v>18</v>
      </c>
      <c r="G114" s="10">
        <f>17.8</f>
        <v>17.8</v>
      </c>
      <c r="H114" s="10">
        <f>2</f>
        <v>2</v>
      </c>
      <c r="I114" s="11">
        <f>74.21</f>
        <v>74.209999999999994</v>
      </c>
      <c r="J114" s="11">
        <f>665.54</f>
        <v>665.54</v>
      </c>
      <c r="K114" s="10">
        <f>229.3</f>
        <v>229.3</v>
      </c>
      <c r="L114" s="10">
        <f>2.1</f>
        <v>2.1</v>
      </c>
      <c r="M114" s="21">
        <f>969000000</f>
        <v>969000000</v>
      </c>
      <c r="N114" s="21">
        <f>106185000000</f>
        <v>106185000000</v>
      </c>
    </row>
    <row r="115" spans="1:14" x14ac:dyDescent="0.15">
      <c r="A115" s="22" t="s">
        <v>53</v>
      </c>
      <c r="B115" s="22" t="s">
        <v>130</v>
      </c>
      <c r="C115" s="22" t="s">
        <v>131</v>
      </c>
      <c r="D115" s="22" t="s">
        <v>126</v>
      </c>
      <c r="E115" s="22" t="s">
        <v>127</v>
      </c>
      <c r="F115" s="9">
        <f>142</f>
        <v>142</v>
      </c>
      <c r="G115" s="10">
        <f>56</f>
        <v>56</v>
      </c>
      <c r="H115" s="10">
        <f>3.6</f>
        <v>3.6</v>
      </c>
      <c r="I115" s="11">
        <f>23.94</f>
        <v>23.94</v>
      </c>
      <c r="J115" s="11">
        <f>374.64</f>
        <v>374.64</v>
      </c>
      <c r="K115" s="10">
        <f>70.2</f>
        <v>70.2</v>
      </c>
      <c r="L115" s="10">
        <f>3.7</f>
        <v>3.7</v>
      </c>
      <c r="M115" s="21">
        <f>17336108230</f>
        <v>17336108230</v>
      </c>
      <c r="N115" s="21">
        <f>326393487000</f>
        <v>326393487000</v>
      </c>
    </row>
    <row r="116" spans="1:14" x14ac:dyDescent="0.15">
      <c r="A116" s="22" t="s">
        <v>53</v>
      </c>
      <c r="B116" s="22" t="s">
        <v>132</v>
      </c>
      <c r="C116" s="22" t="s">
        <v>132</v>
      </c>
      <c r="D116" s="22" t="s">
        <v>133</v>
      </c>
      <c r="E116" s="22" t="s">
        <v>134</v>
      </c>
      <c r="F116" s="9">
        <f>100</f>
        <v>100</v>
      </c>
      <c r="G116" s="10">
        <f>28.6</f>
        <v>28.6</v>
      </c>
      <c r="H116" s="10">
        <f>2.3</f>
        <v>2.2999999999999998</v>
      </c>
      <c r="I116" s="11">
        <f>277.63</f>
        <v>277.63</v>
      </c>
      <c r="J116" s="11">
        <f>3524.82</f>
        <v>3524.82</v>
      </c>
      <c r="K116" s="10">
        <f>18</f>
        <v>18</v>
      </c>
      <c r="L116" s="10">
        <f>1.4</f>
        <v>1.4</v>
      </c>
      <c r="M116" s="21">
        <f>23014001000000</f>
        <v>23014001000000</v>
      </c>
      <c r="N116" s="21">
        <f>295922428000000</f>
        <v>295922428000000</v>
      </c>
    </row>
    <row r="117" spans="1:14" x14ac:dyDescent="0.15">
      <c r="A117" s="22" t="s">
        <v>53</v>
      </c>
      <c r="B117" s="22" t="s">
        <v>132</v>
      </c>
      <c r="C117" s="22" t="s">
        <v>132</v>
      </c>
      <c r="D117" s="22" t="s">
        <v>135</v>
      </c>
      <c r="E117" s="22" t="s">
        <v>136</v>
      </c>
      <c r="F117" s="9">
        <f>397</f>
        <v>397</v>
      </c>
      <c r="G117" s="10">
        <f>22.7</f>
        <v>22.7</v>
      </c>
      <c r="H117" s="10">
        <f>1.4</f>
        <v>1.4</v>
      </c>
      <c r="I117" s="11">
        <f>147.15</f>
        <v>147.15</v>
      </c>
      <c r="J117" s="11">
        <f>2318.72</f>
        <v>2318.7199999999998</v>
      </c>
      <c r="K117" s="10">
        <f>22</f>
        <v>22</v>
      </c>
      <c r="L117" s="10">
        <f>1.2</f>
        <v>1.2</v>
      </c>
      <c r="M117" s="21">
        <f>9451103418400</f>
        <v>9451103418400</v>
      </c>
      <c r="N117" s="21">
        <f>180338475215552</f>
        <v>180338475215552</v>
      </c>
    </row>
    <row r="118" spans="1:14" x14ac:dyDescent="0.15">
      <c r="A118" s="22" t="s">
        <v>53</v>
      </c>
      <c r="B118" s="22" t="s">
        <v>132</v>
      </c>
      <c r="C118" s="22" t="s">
        <v>132</v>
      </c>
      <c r="D118" s="22" t="s">
        <v>137</v>
      </c>
      <c r="E118" s="22" t="s">
        <v>138</v>
      </c>
      <c r="F118" s="9">
        <f>1659</f>
        <v>1659</v>
      </c>
      <c r="G118" s="10">
        <f>19.1</f>
        <v>19.100000000000001</v>
      </c>
      <c r="H118" s="10">
        <f>0.9</f>
        <v>0.9</v>
      </c>
      <c r="I118" s="11">
        <f>82.89</f>
        <v>82.89</v>
      </c>
      <c r="J118" s="11">
        <f>1753.1</f>
        <v>1753.1</v>
      </c>
      <c r="K118" s="10">
        <f>20</f>
        <v>20</v>
      </c>
      <c r="L118" s="10">
        <f>1</f>
        <v>1</v>
      </c>
      <c r="M118" s="21">
        <f>3756567303716</f>
        <v>3756567303716</v>
      </c>
      <c r="N118" s="21">
        <f>79139643690847</f>
        <v>79139643690847</v>
      </c>
    </row>
  </sheetData>
  <mergeCells count="8">
    <mergeCell ref="F1:J1"/>
    <mergeCell ref="K1:N1"/>
    <mergeCell ref="F2:J2"/>
    <mergeCell ref="K2:N2"/>
    <mergeCell ref="B3:B4"/>
    <mergeCell ref="C3:C4"/>
    <mergeCell ref="D3:D4"/>
    <mergeCell ref="E3:E4"/>
  </mergeCells>
  <phoneticPr fontId="2"/>
  <pageMargins left="0.23622047244094491" right="0.23622047244094491" top="0.74803149606299213" bottom="0.74803149606299213" header="0.31496062992125984" footer="0.31496062992125984"/>
  <pageSetup paperSize="9" scale="33" orientation="portrait" r:id="rId1"/>
  <headerFooter>
    <oddFooter>&amp;C1-&amp;P&amp;RCopyright (c) Tokyo Stock Exchange, Inc. All Rights Reserved.</oddFooter>
  </headerFooter>
  <customProperties>
    <customPr name="layoutContexts"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8"/>
  <sheetViews>
    <sheetView showGridLines="0" zoomScaleNormal="100" workbookViewId="0">
      <pane ySplit="5" topLeftCell="A6" activePane="bottomLeft" state="frozen"/>
      <selection pane="bottomLeft" activeCell="A6" sqref="A6"/>
    </sheetView>
  </sheetViews>
  <sheetFormatPr defaultRowHeight="13.5" x14ac:dyDescent="0.15"/>
  <cols>
    <col min="1" max="1" width="12.875" style="5" customWidth="1" collapsed="1"/>
    <col min="2" max="2" width="16.625" style="5" customWidth="1" collapsed="1"/>
    <col min="3" max="4" width="11.75" style="5" bestFit="1" customWidth="1" collapsed="1"/>
    <col min="5" max="5" width="18.75" style="5" bestFit="1" customWidth="1" collapsed="1"/>
    <col min="6" max="6" width="18.75" style="5" customWidth="1" collapsed="1"/>
    <col min="7" max="12" width="26" style="5" customWidth="1" collapsed="1"/>
    <col min="13" max="15" width="9" style="5" collapsed="1"/>
    <col min="16" max="16" width="9" style="5" customWidth="1" collapsed="1"/>
    <col min="17" max="17" width="9" style="5" collapsed="1"/>
    <col min="18" max="19" width="9" style="5" customWidth="1" collapsed="1"/>
    <col min="20" max="16384" width="9" style="5" collapsed="1"/>
  </cols>
  <sheetData>
    <row r="1" spans="1:26" ht="33.75" customHeight="1" x14ac:dyDescent="0.15">
      <c r="A1" s="12" t="s">
        <v>28</v>
      </c>
      <c r="B1" s="2"/>
      <c r="C1" s="2"/>
      <c r="D1" s="2"/>
      <c r="E1" s="2"/>
      <c r="F1" s="13"/>
      <c r="G1" s="25" t="s">
        <v>29</v>
      </c>
      <c r="H1" s="25"/>
      <c r="I1" s="25"/>
      <c r="J1" s="25" t="s">
        <v>30</v>
      </c>
      <c r="K1" s="25"/>
      <c r="L1" s="25"/>
      <c r="M1" s="3"/>
      <c r="N1" s="3"/>
      <c r="O1" s="3"/>
      <c r="P1" s="4"/>
      <c r="Q1" s="3"/>
      <c r="R1" s="3"/>
      <c r="S1" s="3"/>
      <c r="T1" s="3"/>
      <c r="U1" s="3"/>
      <c r="V1" s="3"/>
      <c r="W1" s="3"/>
      <c r="X1" s="3"/>
      <c r="Y1" s="3"/>
      <c r="Z1" s="3"/>
    </row>
    <row r="2" spans="1:26" ht="13.5" customHeight="1" x14ac:dyDescent="0.15">
      <c r="A2" s="14" t="s">
        <v>31</v>
      </c>
      <c r="B2" s="2"/>
      <c r="C2" s="2"/>
      <c r="D2" s="2"/>
      <c r="E2" s="2"/>
      <c r="F2" s="15"/>
      <c r="G2" s="33" t="s">
        <v>51</v>
      </c>
      <c r="H2" s="33"/>
      <c r="I2" s="33"/>
      <c r="J2" s="26" t="s">
        <v>32</v>
      </c>
      <c r="K2" s="26"/>
      <c r="L2" s="26"/>
      <c r="M2" s="3"/>
      <c r="N2" s="3"/>
      <c r="O2" s="3"/>
      <c r="P2" s="4"/>
      <c r="Q2" s="3"/>
      <c r="R2" s="3"/>
      <c r="S2" s="3"/>
      <c r="T2" s="3"/>
      <c r="U2" s="3"/>
      <c r="V2" s="3"/>
      <c r="W2" s="3"/>
      <c r="X2" s="3"/>
      <c r="Y2" s="3"/>
      <c r="Z2" s="3"/>
    </row>
    <row r="3" spans="1:26" ht="13.5" customHeight="1" x14ac:dyDescent="0.15">
      <c r="A3" s="16"/>
      <c r="B3" s="2"/>
      <c r="C3" s="2"/>
      <c r="D3" s="2"/>
      <c r="E3" s="2"/>
      <c r="F3" s="17"/>
      <c r="G3" s="17"/>
      <c r="H3" s="17"/>
      <c r="I3" s="17"/>
      <c r="J3" s="27" t="s">
        <v>52</v>
      </c>
      <c r="K3" s="27"/>
      <c r="L3" s="27"/>
      <c r="M3" s="3"/>
      <c r="N3" s="3"/>
      <c r="O3" s="3"/>
      <c r="P3" s="4"/>
      <c r="Q3" s="3"/>
      <c r="R3" s="3"/>
      <c r="S3" s="3"/>
      <c r="T3" s="3"/>
      <c r="U3" s="3"/>
      <c r="V3" s="3"/>
      <c r="W3" s="3"/>
      <c r="X3" s="3"/>
      <c r="Y3" s="3"/>
      <c r="Z3" s="3"/>
    </row>
    <row r="4" spans="1:26" s="20" customFormat="1" ht="24" x14ac:dyDescent="0.15">
      <c r="A4" s="7" t="s">
        <v>4</v>
      </c>
      <c r="B4" s="29" t="s">
        <v>5</v>
      </c>
      <c r="C4" s="31" t="s">
        <v>33</v>
      </c>
      <c r="D4" s="7" t="s">
        <v>34</v>
      </c>
      <c r="E4" s="7" t="s">
        <v>35</v>
      </c>
      <c r="F4" s="7" t="s">
        <v>36</v>
      </c>
      <c r="G4" s="8" t="s">
        <v>37</v>
      </c>
      <c r="H4" s="8" t="s">
        <v>38</v>
      </c>
      <c r="I4" s="7" t="s">
        <v>39</v>
      </c>
      <c r="J4" s="7" t="s">
        <v>40</v>
      </c>
      <c r="K4" s="7" t="s">
        <v>41</v>
      </c>
      <c r="L4" s="7" t="s">
        <v>42</v>
      </c>
      <c r="M4" s="18"/>
      <c r="N4" s="18"/>
      <c r="O4" s="18"/>
      <c r="P4" s="19"/>
      <c r="Q4" s="19"/>
      <c r="R4" s="19"/>
      <c r="S4" s="19"/>
      <c r="T4" s="19"/>
      <c r="U4" s="19"/>
      <c r="V4" s="19"/>
      <c r="W4" s="19"/>
      <c r="X4" s="19"/>
      <c r="Y4" s="19"/>
      <c r="Z4" s="19"/>
    </row>
    <row r="5" spans="1:26" s="20" customFormat="1" ht="24" x14ac:dyDescent="0.15">
      <c r="A5" s="7" t="s">
        <v>18</v>
      </c>
      <c r="B5" s="30"/>
      <c r="C5" s="32"/>
      <c r="D5" s="7" t="s">
        <v>19</v>
      </c>
      <c r="E5" s="7" t="s">
        <v>20</v>
      </c>
      <c r="F5" s="7" t="s">
        <v>21</v>
      </c>
      <c r="G5" s="8" t="s">
        <v>43</v>
      </c>
      <c r="H5" s="8" t="s">
        <v>44</v>
      </c>
      <c r="I5" s="8" t="s">
        <v>45</v>
      </c>
      <c r="J5" s="8" t="s">
        <v>46</v>
      </c>
      <c r="K5" s="8" t="s">
        <v>47</v>
      </c>
      <c r="L5" s="8" t="s">
        <v>48</v>
      </c>
      <c r="M5" s="18"/>
      <c r="N5" s="18"/>
      <c r="O5" s="18"/>
      <c r="P5" s="19"/>
      <c r="Q5" s="19"/>
      <c r="R5" s="19"/>
      <c r="S5" s="19"/>
      <c r="T5" s="19"/>
      <c r="U5" s="19"/>
      <c r="V5" s="19"/>
      <c r="W5" s="19"/>
      <c r="X5" s="19"/>
      <c r="Y5" s="19"/>
      <c r="Z5" s="19"/>
    </row>
    <row r="6" spans="1:26" x14ac:dyDescent="0.15">
      <c r="A6" s="22" t="s">
        <v>53</v>
      </c>
      <c r="B6" s="22" t="s">
        <v>54</v>
      </c>
      <c r="C6" s="22" t="s">
        <v>55</v>
      </c>
      <c r="D6" s="9">
        <f>1518</f>
        <v>1518</v>
      </c>
      <c r="E6" s="23">
        <f>25.8</f>
        <v>25.8</v>
      </c>
      <c r="F6" s="23">
        <f>1.5</f>
        <v>1.5</v>
      </c>
      <c r="G6" s="11">
        <f>93.87</f>
        <v>93.87</v>
      </c>
      <c r="H6" s="11">
        <f>1569.78</f>
        <v>1569.78</v>
      </c>
      <c r="I6" s="23">
        <f>34.2</f>
        <v>34.200000000000003</v>
      </c>
      <c r="J6" s="23">
        <f>2</f>
        <v>2</v>
      </c>
      <c r="K6" s="24">
        <f>15520435674288</f>
        <v>15520435674288</v>
      </c>
      <c r="L6" s="24">
        <f>262413423132584</f>
        <v>262413423132584</v>
      </c>
    </row>
    <row r="7" spans="1:26" x14ac:dyDescent="0.15">
      <c r="A7" s="22" t="s">
        <v>53</v>
      </c>
      <c r="B7" s="22" t="s">
        <v>128</v>
      </c>
      <c r="C7" s="22" t="s">
        <v>129</v>
      </c>
      <c r="D7" s="9">
        <f>1249</f>
        <v>1249</v>
      </c>
      <c r="E7" s="23">
        <f>24.1</f>
        <v>24.1</v>
      </c>
      <c r="F7" s="23">
        <f>0.8</f>
        <v>0.8</v>
      </c>
      <c r="G7" s="11">
        <f>54.01</f>
        <v>54.01</v>
      </c>
      <c r="H7" s="11">
        <f>1551.96</f>
        <v>1551.96</v>
      </c>
      <c r="I7" s="23">
        <f>29.7</f>
        <v>29.7</v>
      </c>
      <c r="J7" s="23">
        <f>1.1</f>
        <v>1.1000000000000001</v>
      </c>
      <c r="K7" s="24">
        <f>607900217724</f>
        <v>607900217724</v>
      </c>
      <c r="L7" s="24">
        <f>16047030714557</f>
        <v>16047030714557</v>
      </c>
    </row>
    <row r="8" spans="1:26" x14ac:dyDescent="0.15">
      <c r="A8" s="22" t="s">
        <v>53</v>
      </c>
      <c r="B8" s="22" t="s">
        <v>130</v>
      </c>
      <c r="C8" s="22" t="s">
        <v>131</v>
      </c>
      <c r="D8" s="9">
        <f>375</f>
        <v>375</v>
      </c>
      <c r="E8" s="23">
        <f>66.5</f>
        <v>66.5</v>
      </c>
      <c r="F8" s="23">
        <f>4.2</f>
        <v>4.2</v>
      </c>
      <c r="G8" s="11">
        <f>19.6</f>
        <v>19.600000000000001</v>
      </c>
      <c r="H8" s="11">
        <f>309.73</f>
        <v>309.73</v>
      </c>
      <c r="I8" s="23" t="str">
        <f>"＊"</f>
        <v>＊</v>
      </c>
      <c r="J8" s="23">
        <f>4.3</f>
        <v>4.3</v>
      </c>
      <c r="K8" s="24">
        <f>972663027</f>
        <v>972663027</v>
      </c>
      <c r="L8" s="24">
        <f>1141291150866</f>
        <v>1141291150866</v>
      </c>
    </row>
  </sheetData>
  <mergeCells count="7">
    <mergeCell ref="B4:B5"/>
    <mergeCell ref="C4:C5"/>
    <mergeCell ref="G1:I1"/>
    <mergeCell ref="J1:L1"/>
    <mergeCell ref="G2:I2"/>
    <mergeCell ref="J2:L2"/>
    <mergeCell ref="J3:L3"/>
  </mergeCells>
  <phoneticPr fontId="2"/>
  <pageMargins left="0.70866141732283472" right="0.70866141732283472" top="0.74803149606299213" bottom="0.74803149606299213" header="0.31496062992125984" footer="0.31496062992125984"/>
  <pageSetup paperSize="9" scale="37" orientation="portrait" r:id="rId1"/>
  <headerFooter>
    <oddFooter>&amp;C2-&amp;P&amp;RCopyright (c) Tokyo Stock Exchange, Inc. All Rights Reserved.</oddFooter>
  </headerFooter>
  <customProperties>
    <customPr name="layoutContext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規模別・業種別（連結）</vt:lpstr>
      <vt:lpstr>市場別（単体）</vt:lpstr>
      <vt:lpstr>'規模別・業種別（連結）'!Print_Titles</vt:lpstr>
      <vt:lpstr>'市場別（単体）'!Print_Titles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藤原 亜優子</cp:lastModifiedBy>
  <dcterms:created xsi:type="dcterms:W3CDTF">2019-02-08T03:54:25Z</dcterms:created>
  <dcterms:modified xsi:type="dcterms:W3CDTF">2022-05-02T01:49:10Z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2022-05-02T01:49:10Z</vt:filetime>
  </property>
</Properties>
</file>